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24226"/>
  <bookViews>
    <workbookView xWindow="900" yWindow="1008" windowWidth="23016" windowHeight="12216" activeTab="1"/>
  </bookViews>
  <sheets>
    <sheet name="Resultatrapport" sheetId="1" r:id="rId1"/>
    <sheet name="Saldobalanse 31.12.2022" sheetId="5" r:id="rId2"/>
    <sheet name="OSR_Sheet1_00...7a1885d7_SANB5M" sheetId="2" state="hidden" r:id="rId3"/>
    <sheet name="Interface" sheetId="3" state="hidden" r:id="rId4"/>
    <sheet name="DataSetting" sheetId="4" state="hidden" r:id="rId5"/>
  </sheets>
  <definedNames>
    <definedName name="OSR_GearWriter_0" localSheetId="0">'Resultatrapport'!$B$6:$C$6</definedName>
    <definedName name="OSR_GearWriter_1" localSheetId="0">'Resultatrapport'!$H$8:$I$8</definedName>
    <definedName name="OSR_GearWriter_2" localSheetId="0">'Resultatrapport'!$D$10:$E$10</definedName>
    <definedName name="OSR_GearWriter_3" localSheetId="0">'Resultatrapport'!$G$10:$H$10</definedName>
    <definedName name="_xlnm.Print_Area" localSheetId="2">'OSR_Sheet1_00...7a1885d7_SANB5M'!$A$1:$J$63</definedName>
    <definedName name="_xlnm.Print_Area" localSheetId="0">'Resultatrapport'!$A$1:$J$117</definedName>
  </definedNames>
  <calcPr calcId="191029"/>
  <extLst/>
</workbook>
</file>

<file path=xl/sharedStrings.xml><?xml version="1.0" encoding="utf-8"?>
<sst xmlns="http://schemas.openxmlformats.org/spreadsheetml/2006/main" count="528" uniqueCount="424">
  <si>
    <t>Grid Title</t>
  </si>
  <si>
    <t>Chart 4th Data Series</t>
  </si>
  <si>
    <t>Chart 4th Data Series Name</t>
  </si>
  <si>
    <t>IGRowLabelRange</t>
  </si>
  <si>
    <t>FxCode Text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</si>
  <si>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</si>
  <si>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</si>
  <si>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</si>
  <si>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</si>
  <si>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</si>
  <si>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</si>
  <si>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</si>
  <si>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</si>
  <si>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</si>
  <si>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</si>
  <si>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</si>
  <si>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</si>
  <si>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</si>
  <si>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</si>
  <si>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AVVIK</t>
  </si>
  <si>
    <t>LIDColLabelRange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</si>
  <si>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</si>
  <si>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</si>
  <si>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</si>
  <si>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</si>
  <si>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</si>
  <si>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</si>
  <si>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</si>
  <si>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</si>
  <si>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</si>
  <si>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</si>
  <si>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</si>
  <si>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</si>
  <si>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</si>
  <si>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</si>
  <si>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Salgsinntekter, avg.pliktig</t>
  </si>
  <si>
    <t>Leie av duker / matter (bruk kto 6552)</t>
  </si>
  <si>
    <t>Feriepenger beregnet</t>
  </si>
  <si>
    <t>Reparasjoner og vedlikehold utstyr</t>
  </si>
  <si>
    <t>Revisjons- og regnskapshonorar</t>
  </si>
  <si>
    <t>Bank og kortgebyrer</t>
  </si>
  <si>
    <t>Dekningsbidrag</t>
  </si>
  <si>
    <t>Sum frakt/budbil etc</t>
  </si>
  <si>
    <t>Driftsresultat før avskrivninger</t>
  </si>
  <si>
    <t>Resultatgrad</t>
  </si>
  <si>
    <t>ChartType</t>
  </si>
  <si>
    <t>Chart 5th Data Series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</si>
  <si>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</si>
  <si>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</si>
  <si>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</si>
  <si>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</si>
  <si>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</si>
  <si>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</si>
  <si>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</si>
  <si>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</si>
  <si>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</si>
  <si>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</si>
  <si>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</si>
  <si>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</si>
  <si>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Andre offentlige tilskudd</t>
  </si>
  <si>
    <t>Innkjøp drikkevarer (ikke brukt)</t>
  </si>
  <si>
    <t>Arb.avg. påløpne feriepenger</t>
  </si>
  <si>
    <t>Renovasjon, vann, avløp o.l.</t>
  </si>
  <si>
    <t>Forbruksmateriell cafe / utleie</t>
  </si>
  <si>
    <t>Leie duker / matter</t>
  </si>
  <si>
    <t>Representasjon, ikke fradragsberettiget</t>
  </si>
  <si>
    <t>RESULTATGRAD</t>
  </si>
  <si>
    <t>Sum finansposter</t>
  </si>
  <si>
    <t>Chart 2nd Data Series</t>
  </si>
  <si>
    <t>Chart 2nd Data Series Name</t>
  </si>
  <si>
    <t>LIDRowsNumber</t>
  </si>
  <si>
    <t>Grid Cell Range</t>
  </si>
  <si>
    <t>Time  Special Rules</t>
  </si>
  <si>
    <t>Scenario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</si>
  <si>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</si>
  <si>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</si>
  <si>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</si>
  <si>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</si>
  <si>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</si>
  <si>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</si>
  <si>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</si>
  <si>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</si>
  <si>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</si>
  <si>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</si>
  <si>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</si>
  <si>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</si>
  <si>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</si>
  <si>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</si>
  <si>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Salg annet På Kaien</t>
  </si>
  <si>
    <t>Utleie av habitatutstyr</t>
  </si>
  <si>
    <t>Innkjøp rusbrus og cider</t>
  </si>
  <si>
    <t>Håndverktøy</t>
  </si>
  <si>
    <t>HITTIL IFJOR</t>
  </si>
  <si>
    <t>Dekningsgrad</t>
  </si>
  <si>
    <t>Running Actual Sheet row Number</t>
  </si>
  <si>
    <t>ChartDisplayLabel</t>
  </si>
  <si>
    <t>DG Display Label</t>
  </si>
  <si>
    <t>IGDataRange</t>
  </si>
  <si>
    <t>IGDecimalDigits</t>
  </si>
  <si>
    <t>Chart 6th Data Series Name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</si>
  <si>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</si>
  <si>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</si>
  <si>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</si>
  <si>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</si>
  <si>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</si>
  <si>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</si>
  <si>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</si>
  <si>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</si>
  <si>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</si>
  <si>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</si>
  <si>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</si>
  <si>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</si>
  <si>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</si>
  <si>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</si>
  <si>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</si>
  <si>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</si>
  <si>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Pant</t>
  </si>
  <si>
    <t>Innkjøp matvarer</t>
  </si>
  <si>
    <t>Periodiseringskonto lønn Gr. 50</t>
  </si>
  <si>
    <t>Inventar</t>
  </si>
  <si>
    <t>Innleie kokker</t>
  </si>
  <si>
    <t>DEKNINGSGRAD</t>
  </si>
  <si>
    <t>Sum inventar/små anskaffelser/verktøy</t>
  </si>
  <si>
    <t>Sum avskrivninger</t>
  </si>
  <si>
    <t>BudgetTotal</t>
  </si>
  <si>
    <t>Chart 6th Data Series</t>
  </si>
  <si>
    <t>Entity Special Rules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</si>
  <si>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</si>
  <si>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</si>
  <si>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</si>
  <si>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</si>
  <si>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</si>
  <si>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</si>
  <si>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</si>
  <si>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</si>
  <si>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</si>
  <si>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</si>
  <si>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</si>
  <si>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</si>
  <si>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Salg av billetter kulturelt arrangement</t>
  </si>
  <si>
    <t>Div. dr.kostn Sevl.v. 92</t>
  </si>
  <si>
    <t>Reisekostnad, ikke oppg.pliktig</t>
  </si>
  <si>
    <t>FAKTISK</t>
  </si>
  <si>
    <t>Chart 1stData Series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</si>
  <si>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</si>
  <si>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</si>
  <si>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</si>
  <si>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</si>
  <si>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</si>
  <si>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</si>
  <si>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</si>
  <si>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</si>
  <si>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</si>
  <si>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Innkjøp vin</t>
  </si>
  <si>
    <t>Innkjøp brennevin</t>
  </si>
  <si>
    <t>Pensjonsforsikring ansatte - OTP</t>
  </si>
  <si>
    <t>Honorar rådgivende revisjon</t>
  </si>
  <si>
    <t>Kalk. avskrivinger</t>
  </si>
  <si>
    <t>Sum kost maskiner/reklame/forsikring</t>
  </si>
  <si>
    <t>Ordinært resultat før skatt</t>
  </si>
  <si>
    <t>Running Actual Grid Number</t>
  </si>
  <si>
    <t>DGHide</t>
  </si>
  <si>
    <t>IGDisplayLabel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</si>
  <si>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</si>
  <si>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</si>
  <si>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</si>
  <si>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</si>
  <si>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</si>
  <si>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</si>
  <si>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</si>
  <si>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</si>
  <si>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</si>
  <si>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</si>
  <si>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</si>
  <si>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</si>
  <si>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</si>
  <si>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</si>
  <si>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</si>
  <si>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</si>
  <si>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Salg mat og drikke 25 %</t>
  </si>
  <si>
    <t>Leie av lokaler</t>
  </si>
  <si>
    <t>Innkjøp forbruksmateriell (bruk kto 6551)</t>
  </si>
  <si>
    <t>Overtidsmat etter regning</t>
  </si>
  <si>
    <t>Sum personalkostnader</t>
  </si>
  <si>
    <t>Sum innleid hjelp</t>
  </si>
  <si>
    <t>Sum kontorkostnader/telefon/porto</t>
  </si>
  <si>
    <t>Interface Setting Grid Number</t>
  </si>
  <si>
    <t>Chart Legend Location</t>
  </si>
  <si>
    <t>Chart 3rd Data Series</t>
  </si>
  <si>
    <t>DGRow Label</t>
  </si>
  <si>
    <t>ActualTotal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</si>
  <si>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</si>
  <si>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</si>
  <si>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</si>
  <si>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</si>
  <si>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</si>
  <si>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</si>
  <si>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</si>
  <si>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</si>
  <si>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</si>
  <si>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</si>
  <si>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</si>
  <si>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</si>
  <si>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</si>
  <si>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</si>
  <si>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</si>
  <si>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</si>
  <si>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</si>
  <si>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SG Habitat AS</t>
  </si>
  <si>
    <t>Salg mat og drikke 15 %</t>
  </si>
  <si>
    <t>Arbeidsgiveravgift</t>
  </si>
  <si>
    <t>Annen kostnad</t>
  </si>
  <si>
    <t>Renter, purreg. leverandør</t>
  </si>
  <si>
    <t>Sum varekost</t>
  </si>
  <si>
    <t>Sum driftskostnader før avskrivninger</t>
  </si>
  <si>
    <t>Active Grid Number</t>
  </si>
  <si>
    <t>Chart 3rd Data SeriesName</t>
  </si>
  <si>
    <t>IGHide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</si>
  <si>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</si>
  <si>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</si>
  <si>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</si>
  <si>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</si>
  <si>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</si>
  <si>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</si>
  <si>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</si>
  <si>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</si>
  <si>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</si>
  <si>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</si>
  <si>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</si>
  <si>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Servering ved utleie</t>
  </si>
  <si>
    <t>Salgsinntekter, avgiftsfrie</t>
  </si>
  <si>
    <t>Driftsmateriale</t>
  </si>
  <si>
    <t>Leie av underholdning</t>
  </si>
  <si>
    <t>Resultatrapport</t>
  </si>
  <si>
    <t>Sum driftsinntekter</t>
  </si>
  <si>
    <t>EBITDA %</t>
  </si>
  <si>
    <t>Resultrapporten inkluderer kontointervall 3000:8199</t>
  </si>
  <si>
    <t>ChartXAxiesLabel</t>
  </si>
  <si>
    <t>Chart 1st DataSeries Name</t>
  </si>
  <si>
    <t>Chart 5th Data Series Name</t>
  </si>
  <si>
    <t>EnableLID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</si>
  <si>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</si>
  <si>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</si>
  <si>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</si>
  <si>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</si>
  <si>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</si>
  <si>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</si>
  <si>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</si>
  <si>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</si>
  <si>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</si>
  <si>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</si>
  <si>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</si>
  <si>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</si>
  <si>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</si>
  <si>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Annen fremmed tjeneste</t>
  </si>
  <si>
    <t>Annen kontorkostnad</t>
  </si>
  <si>
    <t>Øresavr. konto</t>
  </si>
  <si>
    <t>SliderMinMovePer</t>
  </si>
  <si>
    <t>TotalHide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</si>
  <si>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</si>
  <si>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</si>
  <si>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</si>
  <si>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</si>
  <si>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</si>
  <si>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</si>
  <si>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</si>
  <si>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</si>
  <si>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</si>
  <si>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</si>
  <si>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</si>
  <si>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</si>
  <si>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</si>
  <si>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</si>
  <si>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</si>
  <si>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Innkjøp mineralvann</t>
  </si>
  <si>
    <t>Annen personalkostnad ikke fradragsberettiget</t>
  </si>
  <si>
    <t>Telefon</t>
  </si>
  <si>
    <t xml:space="preserve">Sum totale driftskostnader </t>
  </si>
  <si>
    <t>Sheet Name</t>
  </si>
  <si>
    <t>DG Decimal Digits</t>
  </si>
  <si>
    <t>LIDHide</t>
  </si>
  <si>
    <t>SliderMaxpercentage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</si>
  <si>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</si>
  <si>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</si>
  <si>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</si>
  <si>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</si>
  <si>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</si>
  <si>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</si>
  <si>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</si>
  <si>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</si>
  <si>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</si>
  <si>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</si>
  <si>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</si>
  <si>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</si>
  <si>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</si>
  <si>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Salg julebord 25 %</t>
  </si>
  <si>
    <t>Innkjøp øl</t>
  </si>
  <si>
    <t>Innkjøp catering</t>
  </si>
  <si>
    <t>Lønn til ansatte</t>
  </si>
  <si>
    <t>Renhold</t>
  </si>
  <si>
    <t>Adm.kostn. SGR</t>
  </si>
  <si>
    <t>Data / EDB kostnader</t>
  </si>
  <si>
    <t>Forsikring</t>
  </si>
  <si>
    <t>Renter fra selskap i samme konsern</t>
  </si>
  <si>
    <t>Driftsresultat</t>
  </si>
  <si>
    <t>NØKKELTALL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</si>
  <si>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</si>
  <si>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</si>
  <si>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</si>
  <si>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</si>
  <si>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</si>
  <si>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</si>
  <si>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</si>
  <si>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</si>
  <si>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</si>
  <si>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</si>
  <si>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</si>
  <si>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</si>
  <si>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</si>
  <si>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</si>
  <si>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</si>
  <si>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</si>
  <si>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</si>
  <si>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</si>
  <si>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Leie av underholdning (bruk kto 6720)</t>
  </si>
  <si>
    <t>HITTIL I ÅR</t>
  </si>
  <si>
    <t>Sum leie utstyr/maskiner/biler</t>
  </si>
  <si>
    <t>DGCol Label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</si>
  <si>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</si>
  <si>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</si>
  <si>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</si>
  <si>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</si>
  <si>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</si>
  <si>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</si>
  <si>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</si>
  <si>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</si>
  <si>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</si>
  <si>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</si>
  <si>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Annen personalkostnad</t>
  </si>
  <si>
    <t>Leie lokaler</t>
  </si>
  <si>
    <t>Arbeidsklær og verneutstyr</t>
  </si>
  <si>
    <t>Annen rentekostnad</t>
  </si>
  <si>
    <t>Sum kostnader lokaler</t>
  </si>
  <si>
    <t>Sum vedlikehold lokaler og utstyr</t>
  </si>
  <si>
    <t>SaveType</t>
  </si>
  <si>
    <t>FormatType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</si>
  <si>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</si>
  <si>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</si>
  <si>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</si>
  <si>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</si>
  <si>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</si>
  <si>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</si>
  <si>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</si>
  <si>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</si>
  <si>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</si>
  <si>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</si>
  <si>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</si>
  <si>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</si>
  <si>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</si>
  <si>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</si>
  <si>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</si>
  <si>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Salg av gavekort</t>
  </si>
  <si>
    <t>Lys, varme</t>
  </si>
  <si>
    <t>Annen kostnad lokaler</t>
  </si>
  <si>
    <t>Møte, kurs, oppdatering o.l.</t>
  </si>
  <si>
    <t>Drivstoff</t>
  </si>
  <si>
    <t>Reklamekostnad</t>
  </si>
  <si>
    <t>Saldobalanse per 31.12.2022</t>
  </si>
  <si>
    <t>Kontonr</t>
  </si>
  <si>
    <t>Navn</t>
  </si>
  <si>
    <t>IB</t>
  </si>
  <si>
    <t>Beveg.</t>
  </si>
  <si>
    <t>UB</t>
  </si>
  <si>
    <t>Utsatt skattefordel</t>
  </si>
  <si>
    <t>Maskiner og anlegg</t>
  </si>
  <si>
    <t>Habitatutstyr</t>
  </si>
  <si>
    <t>Div. innredning</t>
  </si>
  <si>
    <t>Lydanlegg På kaien</t>
  </si>
  <si>
    <t>Boss MAX-F42 vacuum maskin</t>
  </si>
  <si>
    <t>Kassesystem</t>
  </si>
  <si>
    <t>Fast bygningsinventar</t>
  </si>
  <si>
    <t>Kundefordringer</t>
  </si>
  <si>
    <t>Kundefordringer konsern</t>
  </si>
  <si>
    <t>Kunderfordringer konsern</t>
  </si>
  <si>
    <t>Fordring konsernbidrag</t>
  </si>
  <si>
    <t>Mellomregning SG Produksjon AS</t>
  </si>
  <si>
    <t>Mellomværende SG Utleie AS</t>
  </si>
  <si>
    <t>Kortsiktig fordring</t>
  </si>
  <si>
    <t>Forskuddsbet. forsikring</t>
  </si>
  <si>
    <t>Kortsikt. fordring kredittsalg På kaien</t>
  </si>
  <si>
    <t>Kontantkasse På kaien</t>
  </si>
  <si>
    <t>Bank DNB 1503 83 76680</t>
  </si>
  <si>
    <t>Sk.trekk DNB 1503 83 76699</t>
  </si>
  <si>
    <t>Aksjekapital</t>
  </si>
  <si>
    <t>Annen innskutt egenkapital</t>
  </si>
  <si>
    <t>Annen egenkapital</t>
  </si>
  <si>
    <t>Leverandørgjeld</t>
  </si>
  <si>
    <t>Levr.gjeld til selsk. i samme konsern</t>
  </si>
  <si>
    <t>Reskontro leverandører konsern</t>
  </si>
  <si>
    <t>Forskuddstrekk</t>
  </si>
  <si>
    <t>Bidragstrekk</t>
  </si>
  <si>
    <t>O-/U-fond</t>
  </si>
  <si>
    <t>Fagforeningstrekk</t>
  </si>
  <si>
    <t>Velferdskasse</t>
  </si>
  <si>
    <t>Utleggstrekk i lønn</t>
  </si>
  <si>
    <t>Utgående MVA høy sats</t>
  </si>
  <si>
    <t>Utgående MVA middels sats</t>
  </si>
  <si>
    <t>Inngående MVA høy sats</t>
  </si>
  <si>
    <t>Inngående MVA middels sats</t>
  </si>
  <si>
    <t>Inngående MVA lav sats</t>
  </si>
  <si>
    <t>Oppgjørskonto merverdiavgift</t>
  </si>
  <si>
    <t>Oppgjørskonto mva</t>
  </si>
  <si>
    <t>Skyldig arb.gj.avg.</t>
  </si>
  <si>
    <t>Arb.giv.avg. av pål. feriepenger</t>
  </si>
  <si>
    <t>Avgitt konsernbidrag</t>
  </si>
  <si>
    <t>Skyldig lønn</t>
  </si>
  <si>
    <t>Avsetn. lønn desember</t>
  </si>
  <si>
    <t>Skyldig feriepenger</t>
  </si>
  <si>
    <t>Mellomværende Stillasgruppen AS</t>
  </si>
  <si>
    <t>Annen kortsiktig gjeld</t>
  </si>
  <si>
    <t>Skyldig tips På kaien</t>
  </si>
  <si>
    <t>Annen fordel i arbeidsforhold</t>
  </si>
  <si>
    <t>Motkonto for gruppe 52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</si>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</sst>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F800]dddd\,\ mmmm\ dd\,\ yyyy"/>
    <numFmt numFmtId="165" formatCode="[$-809]dd\ mmmm\ yyyy;@"/>
    <numFmt numFmtId="166" formatCode="0.0\ %"/>
    <numFmt numFmtId="167" formatCode="[$-414]d/\ mmmm\ yyyy;@"/>
    <numFmt numFmtId="168" formatCode="#,##0_ ;[Red]\-#,##0\ "/>
    <numFmt numFmtId="169" formatCode="[$-414]mmmm\ yy;@"/>
    <numFmt numFmtId="170" formatCode="#,##0_ ;[Red]\(#,##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oboto"/>
      <family val="2"/>
    </font>
    <font>
      <sz val="11"/>
      <color rgb="FF37485A"/>
      <name val="Roboto"/>
      <family val="2"/>
    </font>
    <font>
      <b/>
      <sz val="11"/>
      <color rgb="FF37485A"/>
      <name val="Roboto"/>
      <family val="2"/>
    </font>
    <font>
      <sz val="14"/>
      <color theme="0"/>
      <name val="Roboto"/>
      <family val="2"/>
    </font>
    <font>
      <b/>
      <sz val="14"/>
      <color rgb="FF37485A"/>
      <name val="Roboto"/>
      <family val="2"/>
    </font>
    <font>
      <sz val="12"/>
      <color rgb="FF6D6F71"/>
      <name val="Roboto"/>
      <family val="2"/>
    </font>
    <font>
      <b/>
      <sz val="11"/>
      <color theme="0"/>
      <name val="Roboto"/>
      <family val="2"/>
    </font>
    <font>
      <sz val="12"/>
      <color theme="0"/>
      <name val="Roboto"/>
      <family val="2"/>
    </font>
    <font>
      <sz val="12"/>
      <color rgb="FF37485A"/>
      <name val="Roboto"/>
      <family val="2"/>
    </font>
    <font>
      <sz val="22"/>
      <color rgb="FF37485A"/>
      <name val="Roboto"/>
      <family val="2"/>
    </font>
    <font>
      <sz val="14"/>
      <color rgb="FF6D6F71"/>
      <name val="Roboto"/>
      <family val="2"/>
    </font>
    <font>
      <sz val="9"/>
      <color rgb="FF37485A"/>
      <name val="Roboto"/>
      <family val="2"/>
    </font>
    <font>
      <b/>
      <sz val="20"/>
      <color rgb="FF37485A"/>
      <name val="Roboto"/>
      <family val="2"/>
    </font>
    <font>
      <b/>
      <sz val="11"/>
      <color theme="1"/>
      <name val="Calibri"/>
      <family val="2"/>
      <scheme val="minor"/>
    </font>
    <font>
      <b/>
      <sz val="12"/>
      <color rgb="FF2E8B57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7485A"/>
        <bgColor indexed="64"/>
      </patternFill>
    </fill>
    <fill>
      <patternFill patternType="solid">
        <fgColor rgb="FFFFC711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 style="thin"/>
      <bottom/>
    </border>
    <border>
      <left/>
      <right/>
      <top style="thick">
        <color theme="1"/>
      </top>
      <bottom style="thick">
        <color theme="1"/>
      </bottom>
    </border>
    <border>
      <left style="thick">
        <color rgb="FFFFC000"/>
      </left>
      <right/>
      <top/>
      <bottom/>
    </border>
    <border>
      <left style="thick">
        <color rgb="FFFFC711"/>
      </left>
      <right/>
      <top/>
      <bottom/>
    </border>
    <border>
      <left/>
      <right style="thick">
        <color rgb="FFFFC000"/>
      </right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8" fontId="2" fillId="0" borderId="0" xfId="0" applyNumberFormat="1" applyFont="1"/>
    <xf numFmtId="168" fontId="3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/>
    <xf numFmtId="168" fontId="4" fillId="3" borderId="0" xfId="0" applyNumberFormat="1" applyFont="1" applyFill="1" applyAlignment="1">
      <alignment horizontal="right" vertical="center"/>
    </xf>
    <xf numFmtId="168" fontId="3" fillId="3" borderId="0" xfId="0" applyNumberFormat="1" applyFont="1" applyFill="1" applyAlignment="1">
      <alignment horizontal="right" vertical="center"/>
    </xf>
    <xf numFmtId="168" fontId="4" fillId="0" borderId="0" xfId="0" applyNumberFormat="1" applyFont="1"/>
    <xf numFmtId="0" fontId="5" fillId="4" borderId="0" xfId="0" applyFont="1" applyFill="1" applyAlignment="1">
      <alignment horizontal="left"/>
    </xf>
    <xf numFmtId="1" fontId="3" fillId="0" borderId="0" xfId="0" applyNumberFormat="1" applyFont="1" applyAlignment="1">
      <alignment horizontal="right" vertical="center"/>
    </xf>
    <xf numFmtId="168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7" fontId="7" fillId="0" borderId="0" xfId="0" applyNumberFormat="1" applyFont="1"/>
    <xf numFmtId="0" fontId="8" fillId="0" borderId="0" xfId="0" applyFont="1"/>
    <xf numFmtId="168" fontId="8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4" fillId="0" borderId="3" xfId="0" applyNumberFormat="1" applyFont="1" applyBorder="1" applyAlignment="1">
      <alignment horizontal="right" vertical="center"/>
    </xf>
    <xf numFmtId="0" fontId="5" fillId="4" borderId="0" xfId="0" applyFont="1" applyFill="1" applyAlignment="1">
      <alignment horizontal="center"/>
    </xf>
    <xf numFmtId="0" fontId="4" fillId="0" borderId="0" xfId="0" applyFont="1"/>
    <xf numFmtId="0" fontId="8" fillId="5" borderId="0" xfId="0" applyFont="1" applyFill="1" applyAlignment="1">
      <alignment horizontal="center"/>
    </xf>
    <xf numFmtId="166" fontId="9" fillId="4" borderId="0" xfId="20" applyNumberFormat="1" applyFont="1" applyFill="1"/>
    <xf numFmtId="168" fontId="6" fillId="3" borderId="2" xfId="0" applyNumberFormat="1" applyFont="1" applyFill="1" applyBorder="1" applyAlignment="1">
      <alignment horizontal="right" vertical="center"/>
    </xf>
    <xf numFmtId="168" fontId="8" fillId="3" borderId="0" xfId="0" applyNumberFormat="1" applyFont="1" applyFill="1" applyAlignment="1">
      <alignment horizontal="right"/>
    </xf>
    <xf numFmtId="164" fontId="7" fillId="0" borderId="0" xfId="0" applyNumberFormat="1" applyFont="1"/>
    <xf numFmtId="168" fontId="10" fillId="0" borderId="0" xfId="0" applyNumberFormat="1" applyFont="1"/>
    <xf numFmtId="168" fontId="2" fillId="3" borderId="0" xfId="0" applyNumberFormat="1" applyFont="1" applyFill="1" applyAlignment="1">
      <alignment horizontal="right"/>
    </xf>
    <xf numFmtId="0" fontId="10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3" xfId="0" applyFont="1" applyBorder="1" applyAlignment="1">
      <alignment vertical="center"/>
    </xf>
    <xf numFmtId="168" fontId="4" fillId="3" borderId="3" xfId="0" applyNumberFormat="1" applyFont="1" applyFill="1" applyBorder="1" applyAlignment="1">
      <alignment horizontal="right" vertical="center"/>
    </xf>
    <xf numFmtId="168" fontId="6" fillId="0" borderId="4" xfId="0" applyNumberFormat="1" applyFont="1" applyBorder="1" applyAlignment="1">
      <alignment horizontal="right"/>
    </xf>
    <xf numFmtId="166" fontId="11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168" fontId="8" fillId="0" borderId="0" xfId="0" applyNumberFormat="1" applyFont="1" applyAlignment="1">
      <alignment horizont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/>
    <xf numFmtId="165" fontId="3" fillId="0" borderId="0" xfId="0" applyNumberFormat="1" applyFont="1"/>
    <xf numFmtId="169" fontId="5" fillId="4" borderId="0" xfId="0" applyNumberFormat="1" applyFont="1" applyFill="1" applyAlignment="1">
      <alignment horizontal="center"/>
    </xf>
    <xf numFmtId="168" fontId="6" fillId="3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0" fillId="6" borderId="0" xfId="0" applyFill="1"/>
    <xf numFmtId="14" fontId="3" fillId="0" borderId="0" xfId="0" applyNumberFormat="1" applyFont="1"/>
    <xf numFmtId="0" fontId="6" fillId="0" borderId="4" xfId="0" applyFont="1" applyBorder="1"/>
    <xf numFmtId="166" fontId="10" fillId="0" borderId="5" xfId="0" applyNumberFormat="1" applyFont="1" applyBorder="1" applyAlignment="1">
      <alignment horizontal="left" indent="1"/>
    </xf>
    <xf numFmtId="165" fontId="7" fillId="0" borderId="0" xfId="0" applyNumberFormat="1" applyFont="1"/>
    <xf numFmtId="0" fontId="8" fillId="5" borderId="0" xfId="0" applyFont="1" applyFill="1"/>
    <xf numFmtId="166" fontId="11" fillId="0" borderId="5" xfId="0" applyNumberFormat="1" applyFont="1" applyBorder="1" applyAlignment="1">
      <alignment horizontal="left" vertical="top" indent="1"/>
    </xf>
    <xf numFmtId="0" fontId="10" fillId="0" borderId="6" xfId="0" applyFont="1" applyBorder="1" applyAlignment="1">
      <alignment horizontal="left" vertical="center" indent="1"/>
    </xf>
    <xf numFmtId="0" fontId="9" fillId="4" borderId="0" xfId="0" applyFont="1" applyFill="1"/>
    <xf numFmtId="0" fontId="12" fillId="0" borderId="0" xfId="0" applyFont="1"/>
    <xf numFmtId="0" fontId="9" fillId="4" borderId="0" xfId="0" applyFont="1" applyFill="1" applyAlignment="1">
      <alignment horizontal="left" indent="1"/>
    </xf>
    <xf numFmtId="0" fontId="13" fillId="0" borderId="0" xfId="0" applyFont="1"/>
    <xf numFmtId="170" fontId="4" fillId="0" borderId="0" xfId="0" applyNumberFormat="1" applyFont="1"/>
    <xf numFmtId="0" fontId="3" fillId="0" borderId="7" xfId="0" applyFont="1" applyBorder="1"/>
    <xf numFmtId="0" fontId="14" fillId="0" borderId="0" xfId="0" applyFont="1"/>
    <xf numFmtId="166" fontId="11" fillId="0" borderId="5" xfId="0" applyNumberFormat="1" applyFont="1" applyBorder="1" applyAlignment="1">
      <alignment horizontal="left" vertical="top" indent="1"/>
    </xf>
    <xf numFmtId="166" fontId="11" fillId="0" borderId="7" xfId="0" applyNumberFormat="1" applyFont="1" applyBorder="1" applyAlignment="1">
      <alignment horizontal="left" vertical="top" indent="1"/>
    </xf>
    <xf numFmtId="167" fontId="7" fillId="0" borderId="8" xfId="0" applyNumberFormat="1" applyFont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0" fillId="0" borderId="8" xfId="0" applyBorder="1" applyAlignment="1">
      <alignment horizontal="right"/>
    </xf>
    <xf numFmtId="1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68" fontId="3" fillId="7" borderId="0" xfId="0" applyNumberFormat="1" applyFont="1" applyFill="1" applyAlignment="1">
      <alignment horizontal="right" vertical="center"/>
    </xf>
    <xf numFmtId="168" fontId="2" fillId="7" borderId="0" xfId="0" applyNumberFormat="1" applyFont="1" applyFill="1"/>
    <xf numFmtId="0" fontId="2" fillId="7" borderId="0" xfId="0" applyFont="1" applyFill="1"/>
    <xf numFmtId="0" fontId="0" fillId="0" borderId="0" xfId="0"/>
    <xf numFmtId="0" fontId="16" fillId="0" borderId="0" xfId="0" applyFont="1"/>
    <xf numFmtId="0" fontId="15" fillId="0" borderId="0" xfId="0" applyFont="1"/>
    <xf numFmtId="49" fontId="0" fillId="0" borderId="0" xfId="0" applyNumberFormat="1"/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17"/>
  <sheetViews>
    <sheetView showGridLines="0" zoomScale="90" zoomScaleNormal="90" workbookViewId="0" topLeftCell="A1">
      <pane ySplit="14" topLeftCell="A40" activePane="bottomLeft" state="frozen"/>
      <selection pane="bottomLeft" activeCell="A56" sqref="A56:XFD56"/>
    </sheetView>
  </sheetViews>
  <sheetFormatPr defaultColWidth="9.140625" defaultRowHeight="15" outlineLevelRow="1"/>
  <cols>
    <col min="1" max="1" width="3.7109375" style="0" customWidth="1"/>
    <col min="2" max="2" width="10.8515625" style="0" customWidth="1"/>
    <col min="3" max="3" width="37.28125" style="0" customWidth="1"/>
    <col min="4" max="9" width="20.7109375" style="0" customWidth="1"/>
    <col min="10" max="10" width="3.8515625" style="0" customWidth="1"/>
  </cols>
  <sheetData>
    <row r="1" s="29" customFormat="1" ht="15.6" customHeight="1"/>
    <row r="2" spans="2:7" s="38" customFormat="1" ht="21.6" customHeight="1">
      <c r="B2" s="52" t="s">
        <v>208</v>
      </c>
      <c r="D2" s="19"/>
      <c r="F2" s="19"/>
      <c r="G2" s="19"/>
    </row>
    <row r="3" spans="2:10" s="38" customFormat="1" ht="30.6" customHeight="1">
      <c r="B3" s="57" t="s">
        <v>233</v>
      </c>
      <c r="C3"/>
      <c r="D3"/>
      <c r="E3"/>
      <c r="F3"/>
      <c r="G3"/>
      <c r="H3"/>
      <c r="I3"/>
      <c r="J3"/>
    </row>
    <row r="4" spans="2:9" s="38" customFormat="1" ht="15.6" customHeight="1">
      <c r="B4" s="34"/>
      <c r="D4" s="34"/>
      <c r="E4" s="24"/>
      <c r="F4" s="24"/>
      <c r="G4" s="39"/>
      <c r="H4" s="47"/>
      <c r="I4" s="24"/>
    </row>
    <row r="5" spans="2:13" s="38" customFormat="1" ht="16.95" customHeight="1">
      <c r="B5" s="46" t="s">
        <v>121</v>
      </c>
      <c r="C5" s="56"/>
      <c r="D5" s="46" t="s">
        <v>66</v>
      </c>
      <c r="E5" s="27"/>
      <c r="F5" s="27"/>
      <c r="G5" s="27"/>
      <c r="H5" s="27"/>
      <c r="I5" s="44"/>
      <c r="M5" s="44"/>
    </row>
    <row r="6" spans="2:13" s="38" customFormat="1" ht="30.6" customHeight="1">
      <c r="B6" s="58">
        <f>D111</f>
        <v>0.7407888905864461</v>
      </c>
      <c r="C6" s="59"/>
      <c r="D6" s="49">
        <f>D113</f>
        <v>0.31901455269246703</v>
      </c>
      <c r="E6" s="33"/>
      <c r="F6" s="33"/>
      <c r="G6" s="33"/>
      <c r="H6" s="33"/>
      <c r="I6" s="44"/>
      <c r="M6" s="44"/>
    </row>
    <row r="7" spans="2:9" s="38" customFormat="1" ht="21.6" customHeight="1">
      <c r="B7" s="34"/>
      <c r="D7" s="34"/>
      <c r="E7" s="24"/>
      <c r="F7" s="24"/>
      <c r="G7" s="39"/>
      <c r="H7" s="47"/>
      <c r="I7" s="13"/>
    </row>
    <row r="8" spans="2:17" s="38" customFormat="1" ht="15.6" customHeight="1">
      <c r="B8" s="42"/>
      <c r="C8" s="42"/>
      <c r="D8" s="34"/>
      <c r="E8" s="13"/>
      <c r="F8" s="13"/>
      <c r="G8" s="13"/>
      <c r="H8" s="60">
        <f ca="1">TODAY()</f>
        <v>44972</v>
      </c>
      <c r="I8" s="60"/>
      <c r="J8" s="13"/>
      <c r="K8" s="13"/>
      <c r="L8" s="13"/>
      <c r="M8" s="13"/>
      <c r="N8" s="13"/>
      <c r="O8" s="13"/>
      <c r="P8" s="13"/>
      <c r="Q8" s="13"/>
    </row>
    <row r="9" spans="2:18" s="38" customFormat="1" ht="6.6" customHeight="1">
      <c r="B9" s="9"/>
      <c r="C9" s="9"/>
      <c r="D9" s="9"/>
      <c r="E9" s="9"/>
      <c r="F9" s="9"/>
      <c r="G9" s="9"/>
      <c r="H9" s="9"/>
      <c r="I9" s="9"/>
      <c r="J9" s="5"/>
      <c r="K9" s="5"/>
      <c r="L9" s="5"/>
      <c r="M9" s="5"/>
      <c r="N9" s="5"/>
      <c r="O9" s="5"/>
      <c r="P9" s="5"/>
      <c r="Q9" s="5"/>
      <c r="R9" s="5"/>
    </row>
    <row r="10" spans="2:9" s="29" customFormat="1" ht="21.6" customHeight="1">
      <c r="B10" s="18"/>
      <c r="C10" s="18"/>
      <c r="D10" s="61" t="s">
        <v>142</v>
      </c>
      <c r="E10" s="61"/>
      <c r="F10" s="18"/>
      <c r="G10" s="61" t="s">
        <v>142</v>
      </c>
      <c r="H10" s="61"/>
      <c r="I10" s="18"/>
    </row>
    <row r="11" spans="2:9" s="29" customFormat="1" ht="21.6" customHeight="1">
      <c r="B11" s="18"/>
      <c r="C11" s="18"/>
      <c r="D11" s="40">
        <v>44896</v>
      </c>
      <c r="E11" s="40">
        <v>44531</v>
      </c>
      <c r="F11" s="18" t="s">
        <v>19</v>
      </c>
      <c r="G11" s="18" t="s">
        <v>325</v>
      </c>
      <c r="H11" s="18" t="s">
        <v>92</v>
      </c>
      <c r="I11" s="18" t="s">
        <v>19</v>
      </c>
    </row>
    <row r="12" spans="2:18" s="38" customFormat="1" ht="6.6" customHeight="1">
      <c r="B12" s="9"/>
      <c r="C12" s="9"/>
      <c r="D12" s="9"/>
      <c r="E12" s="9"/>
      <c r="F12" s="9"/>
      <c r="G12" s="9"/>
      <c r="H12" s="9"/>
      <c r="I12" s="9"/>
      <c r="J12" s="5"/>
      <c r="K12" s="5"/>
      <c r="L12" s="5"/>
      <c r="M12" s="5"/>
      <c r="N12" s="5"/>
      <c r="O12" s="5"/>
      <c r="P12" s="5"/>
      <c r="Q12" s="5"/>
      <c r="R12" s="5"/>
    </row>
    <row r="13" spans="2:9" s="29" customFormat="1" ht="2.4" customHeight="1">
      <c r="B13" s="48"/>
      <c r="C13" s="48"/>
      <c r="D13" s="20"/>
      <c r="E13" s="20"/>
      <c r="F13" s="20"/>
      <c r="G13" s="20"/>
      <c r="H13" s="20"/>
      <c r="I13" s="20"/>
    </row>
    <row r="14" spans="2:9" s="29" customFormat="1" ht="6.6" customHeight="1">
      <c r="B14" s="14"/>
      <c r="C14" s="14"/>
      <c r="D14" s="35"/>
      <c r="E14" s="35"/>
      <c r="F14" s="35"/>
      <c r="G14" s="2"/>
      <c r="H14" s="2"/>
      <c r="I14" s="2"/>
    </row>
    <row r="15" spans="2:18" s="29" customFormat="1" ht="15.6" customHeight="1" outlineLevel="1">
      <c r="B15" s="10">
        <v>3001</v>
      </c>
      <c r="C15" s="12" t="s">
        <v>229</v>
      </c>
      <c r="D15" s="3">
        <f aca="true" t="shared" si="0" ref="D15:E16">0*-1</f>
        <v>0</v>
      </c>
      <c r="E15" s="3">
        <f t="shared" si="0"/>
        <v>0</v>
      </c>
      <c r="F15" s="7">
        <f aca="true" t="shared" si="1" ref="F15:F26">_xlfn.IFERROR($D15-$E15,0)</f>
        <v>0</v>
      </c>
      <c r="G15" s="3">
        <f>-55638*-1</f>
        <v>55638</v>
      </c>
      <c r="H15" s="3">
        <f>-162737.6*-1</f>
        <v>162737.6</v>
      </c>
      <c r="I15" s="7">
        <f aca="true" t="shared" si="2" ref="I15:I26">_xlfn.IFERROR($G15-$H15,0)</f>
        <v>-107099.6</v>
      </c>
      <c r="J15" s="2"/>
      <c r="K15" s="2"/>
      <c r="L15" s="2"/>
      <c r="M15" s="2"/>
      <c r="N15" s="2"/>
      <c r="O15" s="2"/>
      <c r="P15" s="2"/>
      <c r="Q15" s="2"/>
      <c r="R15" s="2"/>
    </row>
    <row r="16" spans="2:18" s="29" customFormat="1" ht="15.6" customHeight="1" outlineLevel="1">
      <c r="B16" s="10">
        <v>3002</v>
      </c>
      <c r="C16" s="12" t="s">
        <v>35</v>
      </c>
      <c r="D16" s="3">
        <f t="shared" si="0"/>
        <v>0</v>
      </c>
      <c r="E16" s="3">
        <f t="shared" si="0"/>
        <v>0</v>
      </c>
      <c r="F16" s="7">
        <f t="shared" si="1"/>
        <v>0</v>
      </c>
      <c r="G16" s="3">
        <f>0*-1</f>
        <v>0</v>
      </c>
      <c r="H16" s="3">
        <f>-17120*-1</f>
        <v>17120</v>
      </c>
      <c r="I16" s="7">
        <f t="shared" si="2"/>
        <v>-17120</v>
      </c>
      <c r="J16" s="2"/>
      <c r="K16" s="2"/>
      <c r="L16" s="2"/>
      <c r="M16" s="2"/>
      <c r="N16" s="2"/>
      <c r="O16" s="2"/>
      <c r="P16" s="2"/>
      <c r="Q16" s="2"/>
      <c r="R16" s="2"/>
    </row>
    <row r="17" spans="2:18" s="29" customFormat="1" ht="15.6" customHeight="1" outlineLevel="1">
      <c r="B17" s="10">
        <v>3003</v>
      </c>
      <c r="C17" s="12" t="s">
        <v>361</v>
      </c>
      <c r="D17" s="3">
        <f>-9235*-1</f>
        <v>9235</v>
      </c>
      <c r="E17" s="3">
        <f>0*-1</f>
        <v>0</v>
      </c>
      <c r="F17" s="7">
        <f t="shared" si="1"/>
        <v>9235</v>
      </c>
      <c r="G17" s="3">
        <f>-20028*-1</f>
        <v>20028</v>
      </c>
      <c r="H17" s="3">
        <f>0*-1</f>
        <v>0</v>
      </c>
      <c r="I17" s="7">
        <f t="shared" si="2"/>
        <v>20028</v>
      </c>
      <c r="J17" s="2"/>
      <c r="K17" s="2"/>
      <c r="L17" s="2"/>
      <c r="M17" s="2"/>
      <c r="N17" s="2"/>
      <c r="O17" s="2"/>
      <c r="P17" s="2"/>
      <c r="Q17" s="2"/>
      <c r="R17" s="2"/>
    </row>
    <row r="18" spans="2:18" s="29" customFormat="1" ht="15.6" customHeight="1" outlineLevel="1">
      <c r="B18" s="10">
        <v>3005</v>
      </c>
      <c r="C18" s="12" t="s">
        <v>179</v>
      </c>
      <c r="D18" s="3">
        <f>-404878.2*-1</f>
        <v>404878.2</v>
      </c>
      <c r="E18" s="3">
        <f>-240129.92*-1</f>
        <v>240129.92</v>
      </c>
      <c r="F18" s="7">
        <f t="shared" si="1"/>
        <v>164748.28</v>
      </c>
      <c r="G18" s="3">
        <f>-3970600.96*-1</f>
        <v>3970600.96</v>
      </c>
      <c r="H18" s="3">
        <f>-756114.44*-1</f>
        <v>756114.44</v>
      </c>
      <c r="I18" s="7">
        <f t="shared" si="2"/>
        <v>3214486.52</v>
      </c>
      <c r="J18" s="2"/>
      <c r="K18" s="2"/>
      <c r="L18" s="2"/>
      <c r="M18" s="2"/>
      <c r="N18" s="2"/>
      <c r="O18" s="2"/>
      <c r="P18" s="2"/>
      <c r="Q18" s="2"/>
      <c r="R18" s="2"/>
    </row>
    <row r="19" spans="2:18" s="29" customFormat="1" ht="15.6" customHeight="1" outlineLevel="1">
      <c r="B19" s="10">
        <v>3006</v>
      </c>
      <c r="C19" s="12" t="s">
        <v>139</v>
      </c>
      <c r="D19" s="3">
        <f>-10750*-1</f>
        <v>10750</v>
      </c>
      <c r="E19" s="3">
        <f>-4400*-1</f>
        <v>4400</v>
      </c>
      <c r="F19" s="7">
        <f t="shared" si="1"/>
        <v>6350</v>
      </c>
      <c r="G19" s="3">
        <f>-205350*-1</f>
        <v>205350</v>
      </c>
      <c r="H19" s="3">
        <f>-15400*-1</f>
        <v>15400</v>
      </c>
      <c r="I19" s="7">
        <f t="shared" si="2"/>
        <v>189950</v>
      </c>
      <c r="J19" s="2"/>
      <c r="K19" s="2"/>
      <c r="L19" s="2"/>
      <c r="M19" s="2"/>
      <c r="N19" s="2"/>
      <c r="O19" s="2"/>
      <c r="P19" s="2"/>
      <c r="Q19" s="2"/>
      <c r="R19" s="2"/>
    </row>
    <row r="20" spans="2:18" s="29" customFormat="1" ht="15.6" customHeight="1" outlineLevel="1">
      <c r="B20" s="10">
        <v>3007</v>
      </c>
      <c r="C20" s="12" t="s">
        <v>209</v>
      </c>
      <c r="D20" s="3">
        <f>-4469.55*-1</f>
        <v>4469.55</v>
      </c>
      <c r="E20" s="3">
        <f aca="true" t="shared" si="3" ref="E20:E22">0*-1</f>
        <v>0</v>
      </c>
      <c r="F20" s="7">
        <f t="shared" si="1"/>
        <v>4469.55</v>
      </c>
      <c r="G20" s="3">
        <f>-206840.71*-1</f>
        <v>206840.71</v>
      </c>
      <c r="H20" s="3">
        <f aca="true" t="shared" si="4" ref="H20:H22">0*-1</f>
        <v>0</v>
      </c>
      <c r="I20" s="7">
        <f t="shared" si="2"/>
        <v>206840.71</v>
      </c>
      <c r="J20" s="2"/>
      <c r="K20" s="2"/>
      <c r="L20" s="2"/>
      <c r="M20" s="2"/>
      <c r="N20" s="2"/>
      <c r="O20" s="2"/>
      <c r="P20" s="2"/>
      <c r="Q20" s="2"/>
      <c r="R20" s="2"/>
    </row>
    <row r="21" spans="2:18" s="29" customFormat="1" ht="15.6" customHeight="1" outlineLevel="1">
      <c r="B21" s="10">
        <v>3008</v>
      </c>
      <c r="C21" s="12" t="s">
        <v>295</v>
      </c>
      <c r="D21" s="3">
        <f>-380400*-1</f>
        <v>380400</v>
      </c>
      <c r="E21" s="3">
        <f t="shared" si="3"/>
        <v>0</v>
      </c>
      <c r="F21" s="7">
        <f t="shared" si="1"/>
        <v>380400</v>
      </c>
      <c r="G21" s="3">
        <f>-425256*-1</f>
        <v>425256</v>
      </c>
      <c r="H21" s="3">
        <f t="shared" si="4"/>
        <v>0</v>
      </c>
      <c r="I21" s="7">
        <f t="shared" si="2"/>
        <v>425256</v>
      </c>
      <c r="J21" s="2"/>
      <c r="K21" s="2"/>
      <c r="L21" s="2"/>
      <c r="M21" s="2"/>
      <c r="N21" s="2"/>
      <c r="O21" s="2"/>
      <c r="P21" s="2"/>
      <c r="Q21" s="2"/>
      <c r="R21" s="2"/>
    </row>
    <row r="22" spans="2:18" s="29" customFormat="1" ht="15.6" customHeight="1" outlineLevel="1">
      <c r="B22" s="10">
        <v>3009</v>
      </c>
      <c r="C22" s="12" t="s">
        <v>88</v>
      </c>
      <c r="D22" s="3">
        <f aca="true" t="shared" si="5" ref="D22:D25">0*-1</f>
        <v>0</v>
      </c>
      <c r="E22" s="3">
        <f t="shared" si="3"/>
        <v>0</v>
      </c>
      <c r="F22" s="7">
        <f t="shared" si="1"/>
        <v>0</v>
      </c>
      <c r="G22" s="3">
        <f>-2300*-1</f>
        <v>2300</v>
      </c>
      <c r="H22" s="3">
        <f t="shared" si="4"/>
        <v>0</v>
      </c>
      <c r="I22" s="7">
        <f t="shared" si="2"/>
        <v>2300</v>
      </c>
      <c r="J22" s="2"/>
      <c r="K22" s="2"/>
      <c r="L22" s="2"/>
      <c r="M22" s="2"/>
      <c r="N22" s="2"/>
      <c r="O22" s="2"/>
      <c r="P22" s="2"/>
      <c r="Q22" s="2"/>
      <c r="R22" s="2"/>
    </row>
    <row r="23" spans="2:18" s="29" customFormat="1" ht="15.6" customHeight="1" outlineLevel="1">
      <c r="B23" s="10">
        <v>3010</v>
      </c>
      <c r="C23" s="12" t="s">
        <v>89</v>
      </c>
      <c r="D23" s="3">
        <f t="shared" si="5"/>
        <v>0</v>
      </c>
      <c r="E23" s="3">
        <f>-28926*-1</f>
        <v>28926</v>
      </c>
      <c r="F23" s="7">
        <f t="shared" si="1"/>
        <v>-28926</v>
      </c>
      <c r="G23" s="3">
        <f>0*-1</f>
        <v>0</v>
      </c>
      <c r="H23" s="3">
        <f>-811857*-1</f>
        <v>811857</v>
      </c>
      <c r="I23" s="7">
        <f t="shared" si="2"/>
        <v>-811857</v>
      </c>
      <c r="J23" s="2"/>
      <c r="K23" s="2"/>
      <c r="L23" s="2"/>
      <c r="M23" s="2"/>
      <c r="N23" s="2"/>
      <c r="O23" s="2"/>
      <c r="P23" s="2"/>
      <c r="Q23" s="2"/>
      <c r="R23" s="2"/>
    </row>
    <row r="24" spans="2:18" s="29" customFormat="1" ht="15.6" customHeight="1" outlineLevel="1">
      <c r="B24" s="10">
        <v>3100</v>
      </c>
      <c r="C24" s="12" t="s">
        <v>230</v>
      </c>
      <c r="D24" s="3">
        <f t="shared" si="5"/>
        <v>0</v>
      </c>
      <c r="E24" s="3">
        <f aca="true" t="shared" si="6" ref="E24:E26">0*-1</f>
        <v>0</v>
      </c>
      <c r="F24" s="7">
        <f t="shared" si="1"/>
        <v>0</v>
      </c>
      <c r="G24" s="3">
        <f>-151910*-1</f>
        <v>151910</v>
      </c>
      <c r="H24" s="3">
        <f aca="true" t="shared" si="7" ref="H24:H25">0*-1</f>
        <v>0</v>
      </c>
      <c r="I24" s="7">
        <f t="shared" si="2"/>
        <v>151910</v>
      </c>
      <c r="J24" s="2"/>
      <c r="K24" s="2"/>
      <c r="L24" s="2"/>
      <c r="M24" s="2"/>
      <c r="N24" s="2"/>
      <c r="O24" s="2"/>
      <c r="P24" s="2"/>
      <c r="Q24" s="2"/>
      <c r="R24" s="2"/>
    </row>
    <row r="25" spans="2:18" s="29" customFormat="1" ht="15.6" customHeight="1" outlineLevel="1">
      <c r="B25" s="10">
        <v>3450</v>
      </c>
      <c r="C25" s="12" t="s">
        <v>59</v>
      </c>
      <c r="D25" s="3">
        <f t="shared" si="5"/>
        <v>0</v>
      </c>
      <c r="E25" s="3">
        <f t="shared" si="6"/>
        <v>0</v>
      </c>
      <c r="F25" s="7">
        <f t="shared" si="1"/>
        <v>0</v>
      </c>
      <c r="G25" s="3">
        <f>-35000*-1</f>
        <v>35000</v>
      </c>
      <c r="H25" s="3">
        <f t="shared" si="7"/>
        <v>0</v>
      </c>
      <c r="I25" s="7">
        <f t="shared" si="2"/>
        <v>35000</v>
      </c>
      <c r="J25" s="2"/>
      <c r="K25" s="2"/>
      <c r="L25" s="2"/>
      <c r="M25" s="2"/>
      <c r="N25" s="2"/>
      <c r="O25" s="2"/>
      <c r="P25" s="2"/>
      <c r="Q25" s="2"/>
      <c r="R25" s="2"/>
    </row>
    <row r="26" spans="2:18" s="29" customFormat="1" ht="15.6" customHeight="1" outlineLevel="1">
      <c r="B26" s="10">
        <v>3600</v>
      </c>
      <c r="C26" s="12" t="s">
        <v>180</v>
      </c>
      <c r="D26" s="3">
        <f>-6800*-1</f>
        <v>6800</v>
      </c>
      <c r="E26" s="3">
        <f t="shared" si="6"/>
        <v>0</v>
      </c>
      <c r="F26" s="7">
        <f t="shared" si="1"/>
        <v>6800</v>
      </c>
      <c r="G26" s="3">
        <f>-71224*-1</f>
        <v>71224</v>
      </c>
      <c r="H26" s="3">
        <f>-83520*-1</f>
        <v>83520</v>
      </c>
      <c r="I26" s="7">
        <f t="shared" si="2"/>
        <v>-12296</v>
      </c>
      <c r="J26" s="2"/>
      <c r="K26" s="2"/>
      <c r="L26" s="2"/>
      <c r="M26" s="2"/>
      <c r="N26" s="2"/>
      <c r="O26" s="2"/>
      <c r="P26" s="2"/>
      <c r="Q26" s="2"/>
      <c r="R26" s="2"/>
    </row>
    <row r="27" spans="2:18" s="29" customFormat="1" ht="15.6" customHeight="1">
      <c r="B27" s="8" t="s">
        <v>234</v>
      </c>
      <c r="C27" s="8"/>
      <c r="D27" s="4">
        <f aca="true" t="shared" si="8" ref="D27:E27">SUM(D15:D26)</f>
        <v>816532.75</v>
      </c>
      <c r="E27" s="4">
        <f t="shared" si="8"/>
        <v>273455.92000000004</v>
      </c>
      <c r="F27" s="6">
        <f aca="true" t="shared" si="9" ref="F27:F39">_xlfn.IFERROR(D27-E27,0)</f>
        <v>543076.83</v>
      </c>
      <c r="G27" s="4">
        <f aca="true" t="shared" si="10" ref="G27:H27">SUM(G15:G26)</f>
        <v>5144147.67</v>
      </c>
      <c r="H27" s="4">
        <f t="shared" si="10"/>
        <v>1846749.04</v>
      </c>
      <c r="I27" s="6">
        <f aca="true" t="shared" si="11" ref="I27:I39">_xlfn.IFERROR(G27-H27,0)</f>
        <v>3297398.63</v>
      </c>
      <c r="J27" s="2"/>
      <c r="K27" s="2"/>
      <c r="L27" s="2"/>
      <c r="M27" s="2"/>
      <c r="N27" s="2"/>
      <c r="O27" s="2"/>
      <c r="P27" s="2"/>
      <c r="Q27" s="2"/>
      <c r="R27" s="2"/>
    </row>
    <row r="28" spans="2:18" s="29" customFormat="1" ht="15.6" customHeight="1" hidden="1" outlineLevel="1">
      <c r="B28" s="10">
        <v>4004</v>
      </c>
      <c r="C28" s="12" t="s">
        <v>116</v>
      </c>
      <c r="D28" s="3">
        <v>3262</v>
      </c>
      <c r="E28" s="3"/>
      <c r="F28" s="7">
        <f t="shared" si="9"/>
        <v>3262</v>
      </c>
      <c r="G28" s="3">
        <v>2649.99</v>
      </c>
      <c r="H28" s="3"/>
      <c r="I28" s="7">
        <f t="shared" si="11"/>
        <v>2649.99</v>
      </c>
      <c r="J28" s="2"/>
      <c r="K28" s="2"/>
      <c r="L28" s="2"/>
      <c r="M28" s="2"/>
      <c r="N28" s="2"/>
      <c r="O28" s="2"/>
      <c r="P28" s="2"/>
      <c r="Q28" s="2"/>
      <c r="R28" s="2"/>
    </row>
    <row r="29" spans="2:18" s="29" customFormat="1" ht="15.6" customHeight="1" hidden="1" outlineLevel="1">
      <c r="B29" s="10">
        <v>4005</v>
      </c>
      <c r="C29" s="12" t="s">
        <v>274</v>
      </c>
      <c r="D29" s="3">
        <v>12756</v>
      </c>
      <c r="E29" s="3"/>
      <c r="F29" s="7">
        <f t="shared" si="9"/>
        <v>12756</v>
      </c>
      <c r="G29" s="3">
        <v>105965.55</v>
      </c>
      <c r="H29" s="3"/>
      <c r="I29" s="7">
        <f t="shared" si="11"/>
        <v>105965.55</v>
      </c>
      <c r="J29" s="2"/>
      <c r="K29" s="2"/>
      <c r="L29" s="2"/>
      <c r="M29" s="2"/>
      <c r="N29" s="2"/>
      <c r="O29" s="2"/>
      <c r="P29" s="2"/>
      <c r="Q29" s="2"/>
      <c r="R29" s="2"/>
    </row>
    <row r="30" spans="2:18" s="29" customFormat="1" ht="15.6" customHeight="1" hidden="1" outlineLevel="1">
      <c r="B30" s="10">
        <v>4006</v>
      </c>
      <c r="C30" s="12" t="s">
        <v>90</v>
      </c>
      <c r="D30" s="3">
        <v>2954.44</v>
      </c>
      <c r="E30" s="3"/>
      <c r="F30" s="7">
        <f t="shared" si="9"/>
        <v>2954.44</v>
      </c>
      <c r="G30" s="3">
        <v>42500.41</v>
      </c>
      <c r="H30" s="3"/>
      <c r="I30" s="7">
        <f t="shared" si="11"/>
        <v>42500.41</v>
      </c>
      <c r="J30" s="2"/>
      <c r="K30" s="2"/>
      <c r="L30" s="2"/>
      <c r="M30" s="2"/>
      <c r="N30" s="2"/>
      <c r="O30" s="2"/>
      <c r="P30" s="2"/>
      <c r="Q30" s="2"/>
      <c r="R30" s="2"/>
    </row>
    <row r="31" spans="2:18" s="29" customFormat="1" ht="15.6" customHeight="1" hidden="1" outlineLevel="1">
      <c r="B31" s="10">
        <v>4007</v>
      </c>
      <c r="C31" s="12" t="s">
        <v>296</v>
      </c>
      <c r="D31" s="3">
        <v>50415.08</v>
      </c>
      <c r="E31" s="3"/>
      <c r="F31" s="7">
        <f t="shared" si="9"/>
        <v>50415.08</v>
      </c>
      <c r="G31" s="3">
        <v>338569.37</v>
      </c>
      <c r="H31" s="3"/>
      <c r="I31" s="7">
        <f t="shared" si="11"/>
        <v>338569.37</v>
      </c>
      <c r="J31" s="2"/>
      <c r="K31" s="2"/>
      <c r="L31" s="2"/>
      <c r="M31" s="2"/>
      <c r="N31" s="2"/>
      <c r="O31" s="2"/>
      <c r="P31" s="2"/>
      <c r="Q31" s="2"/>
      <c r="R31" s="2"/>
    </row>
    <row r="32" spans="2:18" s="29" customFormat="1" ht="15.6" customHeight="1" hidden="1" outlineLevel="1">
      <c r="B32" s="10">
        <v>4008</v>
      </c>
      <c r="C32" s="12" t="s">
        <v>153</v>
      </c>
      <c r="D32" s="3">
        <v>22213.28</v>
      </c>
      <c r="E32" s="3"/>
      <c r="F32" s="7">
        <f t="shared" si="9"/>
        <v>22213.28</v>
      </c>
      <c r="G32" s="3">
        <v>206161.34</v>
      </c>
      <c r="H32" s="3"/>
      <c r="I32" s="7">
        <f t="shared" si="11"/>
        <v>206161.34</v>
      </c>
      <c r="J32" s="2"/>
      <c r="K32" s="2"/>
      <c r="L32" s="2"/>
      <c r="M32" s="2"/>
      <c r="N32" s="2"/>
      <c r="O32" s="2"/>
      <c r="P32" s="2"/>
      <c r="Q32" s="2"/>
      <c r="R32" s="2"/>
    </row>
    <row r="33" spans="2:18" s="29" customFormat="1" ht="15.6" customHeight="1" hidden="1" outlineLevel="1">
      <c r="B33" s="10">
        <v>4009</v>
      </c>
      <c r="C33" s="12" t="s">
        <v>154</v>
      </c>
      <c r="D33" s="3">
        <v>10101.6</v>
      </c>
      <c r="E33" s="3"/>
      <c r="F33" s="7">
        <f t="shared" si="9"/>
        <v>10101.6</v>
      </c>
      <c r="G33" s="3">
        <v>74828.63</v>
      </c>
      <c r="H33" s="3"/>
      <c r="I33" s="7">
        <f t="shared" si="11"/>
        <v>74828.63</v>
      </c>
      <c r="J33" s="2"/>
      <c r="K33" s="2"/>
      <c r="L33" s="2"/>
      <c r="M33" s="2"/>
      <c r="N33" s="2"/>
      <c r="O33" s="2"/>
      <c r="P33" s="2"/>
      <c r="Q33" s="2"/>
      <c r="R33" s="2"/>
    </row>
    <row r="34" spans="2:18" s="29" customFormat="1" ht="15.6" customHeight="1" hidden="1" outlineLevel="1">
      <c r="B34" s="10">
        <v>4014</v>
      </c>
      <c r="C34" s="12" t="s">
        <v>60</v>
      </c>
      <c r="D34" s="3"/>
      <c r="E34" s="3">
        <v>97378.6</v>
      </c>
      <c r="F34" s="7">
        <f t="shared" si="9"/>
        <v>-97378.6</v>
      </c>
      <c r="G34" s="3">
        <v>0</v>
      </c>
      <c r="H34" s="3">
        <v>270004.63</v>
      </c>
      <c r="I34" s="7">
        <f t="shared" si="11"/>
        <v>-270004.63</v>
      </c>
      <c r="J34" s="2"/>
      <c r="K34" s="2"/>
      <c r="L34" s="2"/>
      <c r="M34" s="2"/>
      <c r="N34" s="2"/>
      <c r="O34" s="2"/>
      <c r="P34" s="2"/>
      <c r="Q34" s="2"/>
      <c r="R34" s="2"/>
    </row>
    <row r="35" spans="2:18" s="29" customFormat="1" ht="15.6" customHeight="1" hidden="1" outlineLevel="1">
      <c r="B35" s="10">
        <v>4015</v>
      </c>
      <c r="C35" s="12" t="s">
        <v>117</v>
      </c>
      <c r="D35" s="3">
        <v>109082.39</v>
      </c>
      <c r="E35" s="3">
        <v>2626.8</v>
      </c>
      <c r="F35" s="7">
        <f t="shared" si="9"/>
        <v>106455.59</v>
      </c>
      <c r="G35" s="3">
        <v>559645.52</v>
      </c>
      <c r="H35" s="3">
        <v>20730.19</v>
      </c>
      <c r="I35" s="7">
        <f t="shared" si="11"/>
        <v>538915.3300000001</v>
      </c>
      <c r="J35" s="2"/>
      <c r="K35" s="2"/>
      <c r="L35" s="2"/>
      <c r="M35" s="2"/>
      <c r="N35" s="2"/>
      <c r="O35" s="2"/>
      <c r="P35" s="2"/>
      <c r="Q35" s="2"/>
      <c r="R35" s="2"/>
    </row>
    <row r="36" spans="2:18" s="29" customFormat="1" ht="15.6" customHeight="1" hidden="1" outlineLevel="1">
      <c r="B36" s="10">
        <v>4016</v>
      </c>
      <c r="C36" s="12" t="s">
        <v>181</v>
      </c>
      <c r="D36" s="3"/>
      <c r="E36" s="3">
        <v>5671.09</v>
      </c>
      <c r="F36" s="7">
        <f t="shared" si="9"/>
        <v>-5671.09</v>
      </c>
      <c r="G36" s="3">
        <v>0</v>
      </c>
      <c r="H36" s="3">
        <v>27010.42</v>
      </c>
      <c r="I36" s="7">
        <f t="shared" si="11"/>
        <v>-27010.42</v>
      </c>
      <c r="J36" s="2"/>
      <c r="K36" s="2"/>
      <c r="L36" s="2"/>
      <c r="M36" s="2"/>
      <c r="N36" s="2"/>
      <c r="O36" s="2"/>
      <c r="P36" s="2"/>
      <c r="Q36" s="2"/>
      <c r="R36" s="2"/>
    </row>
    <row r="37" spans="2:18" s="29" customFormat="1" ht="15.6" customHeight="1" hidden="1" outlineLevel="1">
      <c r="B37" s="10">
        <v>4017</v>
      </c>
      <c r="C37" s="12" t="s">
        <v>36</v>
      </c>
      <c r="D37" s="3"/>
      <c r="E37" s="3">
        <v>4721.38</v>
      </c>
      <c r="F37" s="7">
        <f t="shared" si="9"/>
        <v>-4721.38</v>
      </c>
      <c r="G37" s="3">
        <v>0</v>
      </c>
      <c r="H37" s="3">
        <v>22817.32</v>
      </c>
      <c r="I37" s="7">
        <f t="shared" si="11"/>
        <v>-22817.32</v>
      </c>
      <c r="J37" s="2"/>
      <c r="K37" s="2"/>
      <c r="L37" s="2"/>
      <c r="M37" s="2"/>
      <c r="N37" s="2"/>
      <c r="O37" s="2"/>
      <c r="P37" s="2"/>
      <c r="Q37" s="2"/>
      <c r="R37" s="2"/>
    </row>
    <row r="38" spans="2:18" s="29" customFormat="1" ht="15.6" customHeight="1" hidden="1" outlineLevel="1">
      <c r="B38" s="10">
        <v>4020</v>
      </c>
      <c r="C38" s="12" t="s">
        <v>297</v>
      </c>
      <c r="D38" s="3">
        <v>869.57</v>
      </c>
      <c r="E38" s="3">
        <v>82469.57</v>
      </c>
      <c r="F38" s="7">
        <f t="shared" si="9"/>
        <v>-81600</v>
      </c>
      <c r="G38" s="3">
        <v>922886.99</v>
      </c>
      <c r="H38" s="3">
        <v>300128.69</v>
      </c>
      <c r="I38" s="7">
        <f t="shared" si="11"/>
        <v>622758.3</v>
      </c>
      <c r="J38" s="2"/>
      <c r="K38" s="2"/>
      <c r="L38" s="2"/>
      <c r="M38" s="2"/>
      <c r="N38" s="2"/>
      <c r="O38" s="2"/>
      <c r="P38" s="2"/>
      <c r="Q38" s="2"/>
      <c r="R38" s="2"/>
    </row>
    <row r="39" spans="2:18" s="29" customFormat="1" ht="15.6" customHeight="1" hidden="1" outlineLevel="1">
      <c r="B39" s="10">
        <v>4025</v>
      </c>
      <c r="C39" s="12" t="s">
        <v>324</v>
      </c>
      <c r="D39" s="3"/>
      <c r="E39" s="3">
        <v>58870</v>
      </c>
      <c r="F39" s="7">
        <f t="shared" si="9"/>
        <v>-58870</v>
      </c>
      <c r="G39" s="3">
        <v>0</v>
      </c>
      <c r="H39" s="3">
        <v>87870</v>
      </c>
      <c r="I39" s="7">
        <f t="shared" si="11"/>
        <v>-87870</v>
      </c>
      <c r="J39" s="2"/>
      <c r="K39" s="2"/>
      <c r="L39" s="2"/>
      <c r="M39" s="2"/>
      <c r="N39" s="2"/>
      <c r="O39" s="2"/>
      <c r="P39" s="2"/>
      <c r="Q39" s="2"/>
      <c r="R39" s="2"/>
    </row>
    <row r="40" spans="2:18" s="29" customFormat="1" ht="15.6" customHeight="1" collapsed="1" thickBot="1">
      <c r="B40" s="8" t="s">
        <v>213</v>
      </c>
      <c r="C40" s="8"/>
      <c r="D40" s="4">
        <f aca="true" t="shared" si="12" ref="D40:E40">SUM(D28:D39)</f>
        <v>211654.36000000002</v>
      </c>
      <c r="E40" s="4">
        <f t="shared" si="12"/>
        <v>251737.44</v>
      </c>
      <c r="F40" s="6">
        <f aca="true" t="shared" si="13" ref="F40:F41">_xlfn.IFERROR(D40-E40,0)</f>
        <v>-40083.07999999999</v>
      </c>
      <c r="G40" s="4">
        <f aca="true" t="shared" si="14" ref="G40:H40">SUM(G28:G39)</f>
        <v>2253207.8</v>
      </c>
      <c r="H40" s="4">
        <f t="shared" si="14"/>
        <v>728561.25</v>
      </c>
      <c r="I40" s="6">
        <f aca="true" t="shared" si="15" ref="I40:I41">_xlfn.IFERROR(G40-H40,0)</f>
        <v>1524646.5499999998</v>
      </c>
      <c r="J40" s="2"/>
      <c r="K40" s="2"/>
      <c r="L40" s="2"/>
      <c r="M40" s="2"/>
      <c r="N40" s="2"/>
      <c r="O40" s="2"/>
      <c r="P40" s="2"/>
      <c r="Q40" s="2"/>
      <c r="R40" s="2"/>
    </row>
    <row r="41" spans="2:18" s="29" customFormat="1" ht="21" customHeight="1" thickTop="1">
      <c r="B41" s="37" t="s">
        <v>41</v>
      </c>
      <c r="C41" s="36"/>
      <c r="D41" s="11">
        <f aca="true" t="shared" si="16" ref="D41:E41">D27-D40</f>
        <v>604878.39</v>
      </c>
      <c r="E41" s="11">
        <f t="shared" si="16"/>
        <v>21718.48000000004</v>
      </c>
      <c r="F41" s="22">
        <f t="shared" si="13"/>
        <v>583159.9099999999</v>
      </c>
      <c r="G41" s="11">
        <f aca="true" t="shared" si="17" ref="G41:H41">G27-G40</f>
        <v>2890939.87</v>
      </c>
      <c r="H41" s="11">
        <f t="shared" si="17"/>
        <v>1118187.79</v>
      </c>
      <c r="I41" s="22">
        <f t="shared" si="15"/>
        <v>1772752.08</v>
      </c>
      <c r="J41" s="2"/>
      <c r="K41" s="2"/>
      <c r="L41" s="2"/>
      <c r="M41" s="2"/>
      <c r="N41" s="2"/>
      <c r="O41" s="2"/>
      <c r="P41" s="2"/>
      <c r="Q41" s="2"/>
      <c r="R41" s="2"/>
    </row>
    <row r="42" spans="6:9" ht="7.2" customHeight="1">
      <c r="F42" s="43"/>
      <c r="I42" s="43"/>
    </row>
    <row r="43" spans="2:18" s="29" customFormat="1" ht="15.6" customHeight="1" hidden="1" outlineLevel="1">
      <c r="B43" s="10">
        <v>5010</v>
      </c>
      <c r="C43" s="12" t="s">
        <v>298</v>
      </c>
      <c r="D43" s="3">
        <v>110561.96</v>
      </c>
      <c r="E43" s="3"/>
      <c r="F43" s="7">
        <f aca="true" t="shared" si="18" ref="F43:F51">_xlfn.IFERROR(D43-E43,0)</f>
        <v>110561.96</v>
      </c>
      <c r="G43" s="3">
        <v>1324448.92</v>
      </c>
      <c r="H43" s="3">
        <v>225170</v>
      </c>
      <c r="I43" s="7">
        <f aca="true" t="shared" si="19" ref="I43:I51">_xlfn.IFERROR(G43-H43,0)</f>
        <v>1099278.92</v>
      </c>
      <c r="J43" s="2"/>
      <c r="K43" s="2"/>
      <c r="L43" s="2"/>
      <c r="M43" s="2"/>
      <c r="N43" s="2"/>
      <c r="O43" s="2"/>
      <c r="P43" s="2"/>
      <c r="Q43" s="2"/>
      <c r="R43" s="2"/>
    </row>
    <row r="44" spans="2:18" s="29" customFormat="1" ht="15.6" customHeight="1" hidden="1" outlineLevel="1">
      <c r="B44" s="10">
        <v>5090</v>
      </c>
      <c r="C44" s="12" t="s">
        <v>118</v>
      </c>
      <c r="D44" s="3"/>
      <c r="E44" s="3">
        <v>57851.44</v>
      </c>
      <c r="F44" s="7">
        <f t="shared" si="18"/>
        <v>-57851.44</v>
      </c>
      <c r="G44" s="3">
        <v>-57851.44</v>
      </c>
      <c r="H44" s="3">
        <v>57714.52</v>
      </c>
      <c r="I44" s="7">
        <f t="shared" si="19"/>
        <v>-115565.95999999999</v>
      </c>
      <c r="J44" s="2"/>
      <c r="K44" s="2"/>
      <c r="L44" s="2"/>
      <c r="M44" s="2"/>
      <c r="N44" s="2"/>
      <c r="O44" s="2"/>
      <c r="P44" s="2"/>
      <c r="Q44" s="2"/>
      <c r="R44" s="2"/>
    </row>
    <row r="45" spans="2:18" s="29" customFormat="1" ht="15.6" customHeight="1" hidden="1" outlineLevel="1">
      <c r="B45" s="10">
        <v>5180</v>
      </c>
      <c r="C45" s="12" t="s">
        <v>37</v>
      </c>
      <c r="D45" s="3">
        <v>13267.43</v>
      </c>
      <c r="E45" s="3"/>
      <c r="F45" s="7">
        <f t="shared" si="18"/>
        <v>13267.43</v>
      </c>
      <c r="G45" s="3">
        <v>158933.86</v>
      </c>
      <c r="H45" s="3">
        <v>27020.4</v>
      </c>
      <c r="I45" s="7">
        <f t="shared" si="19"/>
        <v>131913.46</v>
      </c>
      <c r="J45" s="2"/>
      <c r="K45" s="2"/>
      <c r="L45" s="2"/>
      <c r="M45" s="2"/>
      <c r="N45" s="2"/>
      <c r="O45" s="2"/>
      <c r="P45" s="2"/>
      <c r="Q45" s="2"/>
      <c r="R45" s="2"/>
    </row>
    <row r="46" spans="2:18" s="29" customFormat="1" ht="15.6" customHeight="1" hidden="1" outlineLevel="1">
      <c r="B46" s="10">
        <v>5182</v>
      </c>
      <c r="C46" s="12" t="s">
        <v>61</v>
      </c>
      <c r="D46" s="3">
        <v>1870.71</v>
      </c>
      <c r="E46" s="3"/>
      <c r="F46" s="7">
        <f t="shared" si="18"/>
        <v>1870.71</v>
      </c>
      <c r="G46" s="3">
        <v>22409.66</v>
      </c>
      <c r="H46" s="3">
        <v>3809.87</v>
      </c>
      <c r="I46" s="7">
        <f t="shared" si="19"/>
        <v>18599.79</v>
      </c>
      <c r="J46" s="2"/>
      <c r="K46" s="2"/>
      <c r="L46" s="2"/>
      <c r="M46" s="2"/>
      <c r="N46" s="2"/>
      <c r="O46" s="2"/>
      <c r="P46" s="2"/>
      <c r="Q46" s="2"/>
      <c r="R46" s="2"/>
    </row>
    <row r="47" spans="2:18" s="29" customFormat="1" ht="15.6" customHeight="1" hidden="1" outlineLevel="1">
      <c r="B47" s="10">
        <v>5400</v>
      </c>
      <c r="C47" s="12" t="s">
        <v>210</v>
      </c>
      <c r="D47" s="3">
        <v>15589.24</v>
      </c>
      <c r="E47" s="3"/>
      <c r="F47" s="7">
        <f t="shared" si="18"/>
        <v>15589.24</v>
      </c>
      <c r="G47" s="3">
        <v>186747.32</v>
      </c>
      <c r="H47" s="3">
        <v>31748.97</v>
      </c>
      <c r="I47" s="7">
        <f t="shared" si="19"/>
        <v>154998.35</v>
      </c>
      <c r="J47" s="2"/>
      <c r="K47" s="2"/>
      <c r="L47" s="2"/>
      <c r="M47" s="2"/>
      <c r="N47" s="2"/>
      <c r="O47" s="2"/>
      <c r="P47" s="2"/>
      <c r="Q47" s="2"/>
      <c r="R47" s="2"/>
    </row>
    <row r="48" spans="2:18" s="29" customFormat="1" ht="15.6" customHeight="1" hidden="1" outlineLevel="1">
      <c r="B48" s="10">
        <v>5510</v>
      </c>
      <c r="C48" s="12" t="s">
        <v>182</v>
      </c>
      <c r="D48" s="3"/>
      <c r="E48" s="3"/>
      <c r="F48" s="7">
        <f t="shared" si="18"/>
        <v>0</v>
      </c>
      <c r="G48" s="3">
        <v>317.2</v>
      </c>
      <c r="H48" s="3"/>
      <c r="I48" s="7">
        <f t="shared" si="19"/>
        <v>317.2</v>
      </c>
      <c r="J48" s="2"/>
      <c r="K48" s="2"/>
      <c r="L48" s="2"/>
      <c r="M48" s="2"/>
      <c r="N48" s="2"/>
      <c r="O48" s="2"/>
      <c r="P48" s="2"/>
      <c r="Q48" s="2"/>
      <c r="R48" s="2"/>
    </row>
    <row r="49" spans="2:18" s="29" customFormat="1" ht="15.6" customHeight="1" hidden="1" outlineLevel="1">
      <c r="B49" s="10">
        <v>5945</v>
      </c>
      <c r="C49" s="12" t="s">
        <v>155</v>
      </c>
      <c r="D49" s="3">
        <v>2703.21</v>
      </c>
      <c r="E49" s="3"/>
      <c r="F49" s="7">
        <f t="shared" si="18"/>
        <v>2703.21</v>
      </c>
      <c r="G49" s="3">
        <v>24293.91</v>
      </c>
      <c r="H49" s="3"/>
      <c r="I49" s="7">
        <f t="shared" si="19"/>
        <v>24293.91</v>
      </c>
      <c r="J49" s="2"/>
      <c r="K49" s="2"/>
      <c r="L49" s="2"/>
      <c r="M49" s="2"/>
      <c r="N49" s="2"/>
      <c r="O49" s="2"/>
      <c r="P49" s="2"/>
      <c r="Q49" s="2"/>
      <c r="R49" s="2"/>
    </row>
    <row r="50" spans="2:18" s="29" customFormat="1" ht="15.6" customHeight="1" hidden="1" outlineLevel="1">
      <c r="B50" s="10">
        <v>5990</v>
      </c>
      <c r="C50" s="12" t="s">
        <v>338</v>
      </c>
      <c r="D50" s="3"/>
      <c r="E50" s="3">
        <v>566</v>
      </c>
      <c r="F50" s="7">
        <f t="shared" si="18"/>
        <v>-566</v>
      </c>
      <c r="G50" s="3">
        <v>-143</v>
      </c>
      <c r="H50" s="3">
        <v>795</v>
      </c>
      <c r="I50" s="7">
        <f t="shared" si="19"/>
        <v>-938</v>
      </c>
      <c r="J50" s="2"/>
      <c r="K50" s="2"/>
      <c r="L50" s="2"/>
      <c r="M50" s="2"/>
      <c r="N50" s="2"/>
      <c r="O50" s="2"/>
      <c r="P50" s="2"/>
      <c r="Q50" s="2"/>
      <c r="R50" s="2"/>
    </row>
    <row r="51" spans="2:18" s="29" customFormat="1" ht="15.6" customHeight="1" hidden="1" outlineLevel="1">
      <c r="B51" s="10">
        <v>5991</v>
      </c>
      <c r="C51" s="12" t="s">
        <v>275</v>
      </c>
      <c r="D51" s="3">
        <v>1745</v>
      </c>
      <c r="E51" s="3"/>
      <c r="F51" s="7">
        <f t="shared" si="18"/>
        <v>1745</v>
      </c>
      <c r="G51" s="3">
        <v>4100.88</v>
      </c>
      <c r="H51" s="3">
        <v>7851.6</v>
      </c>
      <c r="I51" s="7">
        <f t="shared" si="19"/>
        <v>-3750.7200000000003</v>
      </c>
      <c r="J51" s="2"/>
      <c r="K51" s="2"/>
      <c r="L51" s="2"/>
      <c r="M51" s="2"/>
      <c r="N51" s="2"/>
      <c r="O51" s="2"/>
      <c r="P51" s="2"/>
      <c r="Q51" s="2"/>
      <c r="R51" s="2"/>
    </row>
    <row r="52" spans="2:18" s="29" customFormat="1" ht="15.6" customHeight="1" collapsed="1">
      <c r="B52" s="8" t="s">
        <v>183</v>
      </c>
      <c r="C52" s="8"/>
      <c r="D52" s="4">
        <f aca="true" t="shared" si="20" ref="D52:E52">SUM(D43:D51)</f>
        <v>145737.55000000002</v>
      </c>
      <c r="E52" s="4">
        <f t="shared" si="20"/>
        <v>58417.44</v>
      </c>
      <c r="F52" s="6">
        <f>_xlfn.IFERROR(D52-E52,0)</f>
        <v>87320.11000000002</v>
      </c>
      <c r="G52" s="4">
        <f aca="true" t="shared" si="21" ref="G52:H52">SUM(G43:G51)</f>
        <v>1663257.3099999996</v>
      </c>
      <c r="H52" s="4">
        <f t="shared" si="21"/>
        <v>354110.36</v>
      </c>
      <c r="I52" s="6">
        <f>_xlfn.IFERROR(G52-H52,0)</f>
        <v>1309146.9499999997</v>
      </c>
      <c r="J52" s="2"/>
      <c r="K52" s="2"/>
      <c r="L52" s="2"/>
      <c r="M52" s="2"/>
      <c r="N52" s="2"/>
      <c r="O52" s="2"/>
      <c r="P52" s="2"/>
      <c r="Q52" s="2"/>
      <c r="R52" s="2"/>
    </row>
    <row r="53" spans="2:18" s="29" customFormat="1" ht="15.6" customHeight="1">
      <c r="B53" s="8" t="s">
        <v>42</v>
      </c>
      <c r="C53" s="8"/>
      <c r="D53" s="4">
        <f aca="true" t="shared" si="22" ref="D53:E53">SUM(0)</f>
        <v>0</v>
      </c>
      <c r="E53" s="4">
        <f t="shared" si="22"/>
        <v>0</v>
      </c>
      <c r="F53" s="6">
        <f aca="true" t="shared" si="23" ref="F53:F58">_xlfn.IFERROR(D53-E53,0)</f>
        <v>0</v>
      </c>
      <c r="G53" s="4">
        <f aca="true" t="shared" si="24" ref="G53:H53">SUM(0)</f>
        <v>0</v>
      </c>
      <c r="H53" s="4">
        <f t="shared" si="24"/>
        <v>0</v>
      </c>
      <c r="I53" s="6">
        <f aca="true" t="shared" si="25" ref="I53:I58">_xlfn.IFERROR(G53-H53,0)</f>
        <v>0</v>
      </c>
      <c r="J53" s="2"/>
      <c r="K53" s="2"/>
      <c r="L53" s="2"/>
      <c r="M53" s="2"/>
      <c r="N53" s="2"/>
      <c r="O53" s="2"/>
      <c r="P53" s="2"/>
      <c r="Q53" s="2"/>
      <c r="R53" s="2"/>
    </row>
    <row r="54" spans="2:18" s="29" customFormat="1" ht="15.6" customHeight="1" outlineLevel="1">
      <c r="B54" s="10">
        <v>6300</v>
      </c>
      <c r="C54" s="12" t="s">
        <v>339</v>
      </c>
      <c r="D54" s="3">
        <v>33000</v>
      </c>
      <c r="E54" s="3">
        <v>33000</v>
      </c>
      <c r="F54" s="7">
        <f t="shared" si="23"/>
        <v>0</v>
      </c>
      <c r="G54" s="3">
        <v>396000</v>
      </c>
      <c r="H54" s="3">
        <v>396000</v>
      </c>
      <c r="I54" s="7">
        <f t="shared" si="25"/>
        <v>0</v>
      </c>
      <c r="J54" s="2"/>
      <c r="K54" s="2"/>
      <c r="L54" s="2"/>
      <c r="M54" s="2"/>
      <c r="N54" s="2"/>
      <c r="O54" s="2"/>
      <c r="P54" s="2"/>
      <c r="Q54" s="2"/>
      <c r="R54" s="2"/>
    </row>
    <row r="55" spans="2:18" s="29" customFormat="1" ht="15.6" customHeight="1" outlineLevel="1">
      <c r="B55" s="10">
        <v>6320</v>
      </c>
      <c r="C55" s="12" t="s">
        <v>62</v>
      </c>
      <c r="D55" s="3">
        <v>2465.5</v>
      </c>
      <c r="E55" s="3">
        <v>1998.51</v>
      </c>
      <c r="F55" s="7">
        <f t="shared" si="23"/>
        <v>466.99</v>
      </c>
      <c r="G55" s="3">
        <v>36103.05</v>
      </c>
      <c r="H55" s="3">
        <v>1998.51</v>
      </c>
      <c r="I55" s="7">
        <f t="shared" si="25"/>
        <v>34104.54</v>
      </c>
      <c r="J55" s="2"/>
      <c r="K55" s="2"/>
      <c r="L55" s="2"/>
      <c r="M55" s="2"/>
      <c r="N55" s="2"/>
      <c r="O55" s="2"/>
      <c r="P55" s="2"/>
      <c r="Q55" s="2"/>
      <c r="R55" s="2"/>
    </row>
    <row r="56" spans="2:18" s="67" customFormat="1" ht="15.6" customHeight="1" outlineLevel="1">
      <c r="B56" s="63">
        <v>6340</v>
      </c>
      <c r="C56" s="64" t="s">
        <v>362</v>
      </c>
      <c r="D56" s="65">
        <v>6477.57</v>
      </c>
      <c r="E56" s="65">
        <v>14190.4</v>
      </c>
      <c r="F56" s="65">
        <f t="shared" si="23"/>
        <v>-7712.83</v>
      </c>
      <c r="G56" s="65">
        <v>255464.77</v>
      </c>
      <c r="H56" s="65">
        <v>76936</v>
      </c>
      <c r="I56" s="65">
        <f t="shared" si="25"/>
        <v>178528.77</v>
      </c>
      <c r="J56" s="66"/>
      <c r="K56" s="66"/>
      <c r="L56" s="66"/>
      <c r="M56" s="66"/>
      <c r="N56" s="66"/>
      <c r="O56" s="66"/>
      <c r="P56" s="66"/>
      <c r="Q56" s="66"/>
      <c r="R56" s="66"/>
    </row>
    <row r="57" spans="2:18" s="29" customFormat="1" ht="15.6" customHeight="1" outlineLevel="1">
      <c r="B57" s="10">
        <v>6360</v>
      </c>
      <c r="C57" s="12" t="s">
        <v>299</v>
      </c>
      <c r="D57" s="3"/>
      <c r="E57" s="3">
        <v>9320.88</v>
      </c>
      <c r="F57" s="7">
        <f t="shared" si="23"/>
        <v>-9320.88</v>
      </c>
      <c r="G57" s="3">
        <v>23473.59</v>
      </c>
      <c r="H57" s="3">
        <v>40138.28</v>
      </c>
      <c r="I57" s="7">
        <f t="shared" si="25"/>
        <v>-16664.69</v>
      </c>
      <c r="J57" s="2"/>
      <c r="K57" s="2"/>
      <c r="L57" s="2"/>
      <c r="M57" s="2"/>
      <c r="N57" s="2"/>
      <c r="O57" s="2"/>
      <c r="P57" s="2"/>
      <c r="Q57" s="2"/>
      <c r="R57" s="2"/>
    </row>
    <row r="58" spans="2:18" s="29" customFormat="1" ht="15.6" customHeight="1" outlineLevel="1">
      <c r="B58" s="10">
        <v>6390</v>
      </c>
      <c r="C58" s="12" t="s">
        <v>363</v>
      </c>
      <c r="D58" s="3">
        <v>765</v>
      </c>
      <c r="E58" s="3">
        <v>800</v>
      </c>
      <c r="F58" s="7">
        <f t="shared" si="23"/>
        <v>-35</v>
      </c>
      <c r="G58" s="3">
        <v>17327.2</v>
      </c>
      <c r="H58" s="3">
        <v>800</v>
      </c>
      <c r="I58" s="7">
        <f t="shared" si="25"/>
        <v>16527.2</v>
      </c>
      <c r="J58" s="2"/>
      <c r="K58" s="2"/>
      <c r="L58" s="2"/>
      <c r="M58" s="2"/>
      <c r="N58" s="2"/>
      <c r="O58" s="2"/>
      <c r="P58" s="2"/>
      <c r="Q58" s="2"/>
      <c r="R58" s="2"/>
    </row>
    <row r="59" spans="2:18" s="29" customFormat="1" ht="15.6" customHeight="1">
      <c r="B59" s="8" t="s">
        <v>342</v>
      </c>
      <c r="C59" s="8"/>
      <c r="D59" s="4">
        <f aca="true" t="shared" si="26" ref="D59:E59">SUM(D54:D58)</f>
        <v>42708.07</v>
      </c>
      <c r="E59" s="4">
        <f t="shared" si="26"/>
        <v>59309.79</v>
      </c>
      <c r="F59" s="6">
        <f>_xlfn.IFERROR(D59-E59,0)</f>
        <v>-16601.72</v>
      </c>
      <c r="G59" s="4">
        <f aca="true" t="shared" si="27" ref="G59:H59">SUM(G54:G58)</f>
        <v>728368.6099999999</v>
      </c>
      <c r="H59" s="4">
        <f t="shared" si="27"/>
        <v>515872.79000000004</v>
      </c>
      <c r="I59" s="6">
        <f>_xlfn.IFERROR(G59-H59,0)</f>
        <v>212495.81999999983</v>
      </c>
      <c r="J59" s="2"/>
      <c r="K59" s="2"/>
      <c r="L59" s="2"/>
      <c r="M59" s="2"/>
      <c r="N59" s="2"/>
      <c r="O59" s="2"/>
      <c r="P59" s="2"/>
      <c r="Q59" s="2"/>
      <c r="R59" s="2"/>
    </row>
    <row r="60" spans="2:18" s="29" customFormat="1" ht="15.6" customHeight="1">
      <c r="B60" s="8" t="s">
        <v>326</v>
      </c>
      <c r="C60" s="8"/>
      <c r="D60" s="4">
        <f aca="true" t="shared" si="28" ref="D60:E60">SUM(0)</f>
        <v>0</v>
      </c>
      <c r="E60" s="4">
        <f t="shared" si="28"/>
        <v>0</v>
      </c>
      <c r="F60" s="6">
        <f aca="true" t="shared" si="29" ref="F60:F66">_xlfn.IFERROR(D60-E60,0)</f>
        <v>0</v>
      </c>
      <c r="G60" s="4">
        <f aca="true" t="shared" si="30" ref="G60:H60">SUM(0)</f>
        <v>0</v>
      </c>
      <c r="H60" s="4">
        <f t="shared" si="30"/>
        <v>0</v>
      </c>
      <c r="I60" s="6">
        <f aca="true" t="shared" si="31" ref="I60:I66">_xlfn.IFERROR(G60-H60,0)</f>
        <v>0</v>
      </c>
      <c r="J60" s="2"/>
      <c r="K60" s="2"/>
      <c r="L60" s="2"/>
      <c r="M60" s="2"/>
      <c r="N60" s="2"/>
      <c r="O60" s="2"/>
      <c r="P60" s="2"/>
      <c r="Q60" s="2"/>
      <c r="R60" s="2"/>
    </row>
    <row r="61" spans="2:18" s="29" customFormat="1" ht="15.6" customHeight="1" hidden="1" outlineLevel="1">
      <c r="B61" s="10">
        <v>6510</v>
      </c>
      <c r="C61" s="12" t="s">
        <v>91</v>
      </c>
      <c r="D61" s="3">
        <v>615.2</v>
      </c>
      <c r="E61" s="3"/>
      <c r="F61" s="7">
        <f t="shared" si="29"/>
        <v>615.2</v>
      </c>
      <c r="G61" s="3">
        <v>615.2</v>
      </c>
      <c r="H61" s="3">
        <v>25.65</v>
      </c>
      <c r="I61" s="7">
        <f t="shared" si="31"/>
        <v>589.5500000000001</v>
      </c>
      <c r="J61" s="2"/>
      <c r="K61" s="2"/>
      <c r="L61" s="2"/>
      <c r="M61" s="2"/>
      <c r="N61" s="2"/>
      <c r="O61" s="2"/>
      <c r="P61" s="2"/>
      <c r="Q61" s="2"/>
      <c r="R61" s="2"/>
    </row>
    <row r="62" spans="2:18" s="29" customFormat="1" ht="15.6" customHeight="1" hidden="1" outlineLevel="1">
      <c r="B62" s="10">
        <v>6540</v>
      </c>
      <c r="C62" s="12" t="s">
        <v>119</v>
      </c>
      <c r="D62" s="3">
        <v>7644.1</v>
      </c>
      <c r="E62" s="3">
        <v>31849.48</v>
      </c>
      <c r="F62" s="7">
        <f t="shared" si="29"/>
        <v>-24205.379999999997</v>
      </c>
      <c r="G62" s="3">
        <v>135215.94</v>
      </c>
      <c r="H62" s="3">
        <v>103890.91</v>
      </c>
      <c r="I62" s="7">
        <f t="shared" si="31"/>
        <v>31325.03</v>
      </c>
      <c r="J62" s="2"/>
      <c r="K62" s="2"/>
      <c r="L62" s="2"/>
      <c r="M62" s="2"/>
      <c r="N62" s="2"/>
      <c r="O62" s="2"/>
      <c r="P62" s="2"/>
      <c r="Q62" s="2"/>
      <c r="R62" s="2"/>
    </row>
    <row r="63" spans="2:18" s="29" customFormat="1" ht="15.6" customHeight="1" hidden="1" outlineLevel="1">
      <c r="B63" s="10">
        <v>6550</v>
      </c>
      <c r="C63" s="12" t="s">
        <v>231</v>
      </c>
      <c r="D63" s="3">
        <v>130.28</v>
      </c>
      <c r="E63" s="3">
        <v>2586.75</v>
      </c>
      <c r="F63" s="7">
        <f t="shared" si="29"/>
        <v>-2456.47</v>
      </c>
      <c r="G63" s="3">
        <v>28056.53</v>
      </c>
      <c r="H63" s="3">
        <v>10156.05</v>
      </c>
      <c r="I63" s="7">
        <f t="shared" si="31"/>
        <v>17900.48</v>
      </c>
      <c r="J63" s="2"/>
      <c r="K63" s="2"/>
      <c r="L63" s="2"/>
      <c r="M63" s="2"/>
      <c r="N63" s="2"/>
      <c r="O63" s="2"/>
      <c r="P63" s="2"/>
      <c r="Q63" s="2"/>
      <c r="R63" s="2"/>
    </row>
    <row r="64" spans="2:18" s="29" customFormat="1" ht="15.6" customHeight="1" hidden="1" outlineLevel="1">
      <c r="B64" s="10">
        <v>6551</v>
      </c>
      <c r="C64" s="12" t="s">
        <v>63</v>
      </c>
      <c r="D64" s="3">
        <v>7729.62</v>
      </c>
      <c r="E64" s="3"/>
      <c r="F64" s="7">
        <f t="shared" si="29"/>
        <v>7729.62</v>
      </c>
      <c r="G64" s="3">
        <v>68138.39</v>
      </c>
      <c r="H64" s="3"/>
      <c r="I64" s="7">
        <f t="shared" si="31"/>
        <v>68138.39</v>
      </c>
      <c r="J64" s="2"/>
      <c r="K64" s="2"/>
      <c r="L64" s="2"/>
      <c r="M64" s="2"/>
      <c r="N64" s="2"/>
      <c r="O64" s="2"/>
      <c r="P64" s="2"/>
      <c r="Q64" s="2"/>
      <c r="R64" s="2"/>
    </row>
    <row r="65" spans="2:18" s="29" customFormat="1" ht="15.6" customHeight="1" hidden="1" outlineLevel="1">
      <c r="B65" s="10">
        <v>6552</v>
      </c>
      <c r="C65" s="12" t="s">
        <v>64</v>
      </c>
      <c r="D65" s="3">
        <v>5226.86</v>
      </c>
      <c r="E65" s="3"/>
      <c r="F65" s="7">
        <f t="shared" si="29"/>
        <v>5226.86</v>
      </c>
      <c r="G65" s="3">
        <v>53123.43</v>
      </c>
      <c r="H65" s="3"/>
      <c r="I65" s="7">
        <f t="shared" si="31"/>
        <v>53123.43</v>
      </c>
      <c r="J65" s="2"/>
      <c r="K65" s="2"/>
      <c r="L65" s="2"/>
      <c r="M65" s="2"/>
      <c r="N65" s="2"/>
      <c r="O65" s="2"/>
      <c r="P65" s="2"/>
      <c r="Q65" s="2"/>
      <c r="R65" s="2"/>
    </row>
    <row r="66" spans="2:18" s="29" customFormat="1" ht="15.6" customHeight="1" hidden="1" outlineLevel="1">
      <c r="B66" s="10">
        <v>6570</v>
      </c>
      <c r="C66" s="12" t="s">
        <v>340</v>
      </c>
      <c r="D66" s="3"/>
      <c r="E66" s="3"/>
      <c r="F66" s="7">
        <f t="shared" si="29"/>
        <v>0</v>
      </c>
      <c r="G66" s="3">
        <v>16555.36</v>
      </c>
      <c r="H66" s="3">
        <v>12594.56</v>
      </c>
      <c r="I66" s="7">
        <f t="shared" si="31"/>
        <v>3960.800000000001</v>
      </c>
      <c r="J66" s="2"/>
      <c r="K66" s="2"/>
      <c r="L66" s="2"/>
      <c r="M66" s="2"/>
      <c r="N66" s="2"/>
      <c r="O66" s="2"/>
      <c r="P66" s="2"/>
      <c r="Q66" s="2"/>
      <c r="R66" s="2"/>
    </row>
    <row r="67" spans="2:18" s="29" customFormat="1" ht="15.6" customHeight="1" collapsed="1">
      <c r="B67" s="8" t="s">
        <v>122</v>
      </c>
      <c r="C67" s="8"/>
      <c r="D67" s="4">
        <f aca="true" t="shared" si="32" ref="D67:E67">SUM(D61:D66)</f>
        <v>21346.06</v>
      </c>
      <c r="E67" s="4">
        <f t="shared" si="32"/>
        <v>34436.229999999996</v>
      </c>
      <c r="F67" s="6">
        <f aca="true" t="shared" si="33" ref="F67:F69">_xlfn.IFERROR(D67-E67,0)</f>
        <v>-13090.169999999995</v>
      </c>
      <c r="G67" s="4">
        <f aca="true" t="shared" si="34" ref="G67:H67">SUM(G61:G66)</f>
        <v>301704.85</v>
      </c>
      <c r="H67" s="4">
        <f t="shared" si="34"/>
        <v>126667.17</v>
      </c>
      <c r="I67" s="6">
        <f aca="true" t="shared" si="35" ref="I67:I69">_xlfn.IFERROR(G67-H67,0)</f>
        <v>175037.68</v>
      </c>
      <c r="J67" s="2"/>
      <c r="K67" s="2"/>
      <c r="L67" s="2"/>
      <c r="M67" s="2"/>
      <c r="N67" s="2"/>
      <c r="O67" s="2"/>
      <c r="P67" s="2"/>
      <c r="Q67" s="2"/>
      <c r="R67" s="2"/>
    </row>
    <row r="68" spans="2:18" s="29" customFormat="1" ht="15.6" customHeight="1" hidden="1" outlineLevel="1">
      <c r="B68" s="10">
        <v>6620</v>
      </c>
      <c r="C68" s="12" t="s">
        <v>38</v>
      </c>
      <c r="D68" s="3">
        <v>6991.52</v>
      </c>
      <c r="E68" s="3">
        <v>2420</v>
      </c>
      <c r="F68" s="7">
        <f t="shared" si="33"/>
        <v>4571.52</v>
      </c>
      <c r="G68" s="3">
        <v>6991.52</v>
      </c>
      <c r="H68" s="3">
        <v>10830</v>
      </c>
      <c r="I68" s="7">
        <f t="shared" si="35"/>
        <v>-3838.4799999999996</v>
      </c>
      <c r="J68" s="2"/>
      <c r="K68" s="2"/>
      <c r="L68" s="2"/>
      <c r="M68" s="2"/>
      <c r="N68" s="2"/>
      <c r="O68" s="2"/>
      <c r="P68" s="2"/>
      <c r="Q68" s="2"/>
      <c r="R68" s="2"/>
    </row>
    <row r="69" spans="2:18" s="29" customFormat="1" ht="15.6" customHeight="1" hidden="1" outlineLevel="1">
      <c r="B69" s="10">
        <v>6630</v>
      </c>
      <c r="C69" s="12" t="s">
        <v>140</v>
      </c>
      <c r="D69" s="3"/>
      <c r="E69" s="3">
        <v>7057.87</v>
      </c>
      <c r="F69" s="7">
        <f t="shared" si="33"/>
        <v>-7057.87</v>
      </c>
      <c r="G69" s="3">
        <v>31166.56</v>
      </c>
      <c r="H69" s="3">
        <v>48622.86</v>
      </c>
      <c r="I69" s="7">
        <f t="shared" si="35"/>
        <v>-17456.3</v>
      </c>
      <c r="J69" s="2"/>
      <c r="K69" s="2"/>
      <c r="L69" s="2"/>
      <c r="M69" s="2"/>
      <c r="N69" s="2"/>
      <c r="O69" s="2"/>
      <c r="P69" s="2"/>
      <c r="Q69" s="2"/>
      <c r="R69" s="2"/>
    </row>
    <row r="70" spans="2:18" s="29" customFormat="1" ht="15.6" customHeight="1" collapsed="1">
      <c r="B70" s="8" t="s">
        <v>343</v>
      </c>
      <c r="C70" s="8"/>
      <c r="D70" s="4">
        <f aca="true" t="shared" si="36" ref="D70:E70">SUM(D68:D69)</f>
        <v>6991.52</v>
      </c>
      <c r="E70" s="4">
        <f t="shared" si="36"/>
        <v>9477.869999999999</v>
      </c>
      <c r="F70" s="6">
        <f aca="true" t="shared" si="37" ref="F70:F76">_xlfn.IFERROR(D70-E70,0)</f>
        <v>-2486.3499999999985</v>
      </c>
      <c r="G70" s="4">
        <f aca="true" t="shared" si="38" ref="G70:H70">SUM(G68:G69)</f>
        <v>38158.08</v>
      </c>
      <c r="H70" s="4">
        <f t="shared" si="38"/>
        <v>59452.86</v>
      </c>
      <c r="I70" s="6">
        <f aca="true" t="shared" si="39" ref="I70:I76">_xlfn.IFERROR(G70-H70,0)</f>
        <v>-21294.78</v>
      </c>
      <c r="J70" s="2"/>
      <c r="K70" s="2"/>
      <c r="L70" s="2"/>
      <c r="M70" s="2"/>
      <c r="N70" s="2"/>
      <c r="O70" s="2"/>
      <c r="P70" s="2"/>
      <c r="Q70" s="2"/>
      <c r="R70" s="2"/>
    </row>
    <row r="71" spans="2:18" s="29" customFormat="1" ht="15.6" customHeight="1" hidden="1" outlineLevel="1">
      <c r="B71" s="10">
        <v>6700</v>
      </c>
      <c r="C71" s="12" t="s">
        <v>39</v>
      </c>
      <c r="D71" s="3"/>
      <c r="E71" s="3"/>
      <c r="F71" s="7">
        <f t="shared" si="37"/>
        <v>0</v>
      </c>
      <c r="G71" s="3">
        <v>53380</v>
      </c>
      <c r="H71" s="3">
        <v>26650</v>
      </c>
      <c r="I71" s="7">
        <f t="shared" si="39"/>
        <v>26730</v>
      </c>
      <c r="J71" s="2"/>
      <c r="K71" s="2"/>
      <c r="L71" s="2"/>
      <c r="M71" s="2"/>
      <c r="N71" s="2"/>
      <c r="O71" s="2"/>
      <c r="P71" s="2"/>
      <c r="Q71" s="2"/>
      <c r="R71" s="2"/>
    </row>
    <row r="72" spans="2:18" s="29" customFormat="1" ht="15.6" customHeight="1" hidden="1" outlineLevel="1">
      <c r="B72" s="10">
        <v>6701</v>
      </c>
      <c r="C72" s="12" t="s">
        <v>156</v>
      </c>
      <c r="D72" s="3"/>
      <c r="E72" s="3"/>
      <c r="F72" s="7">
        <f t="shared" si="37"/>
        <v>0</v>
      </c>
      <c r="G72" s="3">
        <v>5000</v>
      </c>
      <c r="H72" s="3">
        <v>1125</v>
      </c>
      <c r="I72" s="7">
        <f t="shared" si="39"/>
        <v>3875</v>
      </c>
      <c r="J72" s="2"/>
      <c r="K72" s="2"/>
      <c r="L72" s="2"/>
      <c r="M72" s="2"/>
      <c r="N72" s="2"/>
      <c r="O72" s="2"/>
      <c r="P72" s="2"/>
      <c r="Q72" s="2"/>
      <c r="R72" s="2"/>
    </row>
    <row r="73" spans="2:18" s="29" customFormat="1" ht="15.6" customHeight="1" hidden="1" outlineLevel="1">
      <c r="B73" s="10">
        <v>6710</v>
      </c>
      <c r="C73" s="12" t="s">
        <v>120</v>
      </c>
      <c r="D73" s="3">
        <v>40329.5</v>
      </c>
      <c r="E73" s="3"/>
      <c r="F73" s="7">
        <f t="shared" si="37"/>
        <v>40329.5</v>
      </c>
      <c r="G73" s="3">
        <v>519553.5</v>
      </c>
      <c r="H73" s="3"/>
      <c r="I73" s="7">
        <f t="shared" si="39"/>
        <v>519553.5</v>
      </c>
      <c r="J73" s="2"/>
      <c r="K73" s="2"/>
      <c r="L73" s="2"/>
      <c r="M73" s="2"/>
      <c r="N73" s="2"/>
      <c r="O73" s="2"/>
      <c r="P73" s="2"/>
      <c r="Q73" s="2"/>
      <c r="R73" s="2"/>
    </row>
    <row r="74" spans="2:18" s="29" customFormat="1" ht="15.6" customHeight="1" hidden="1" outlineLevel="1">
      <c r="B74" s="10">
        <v>6720</v>
      </c>
      <c r="C74" s="12" t="s">
        <v>232</v>
      </c>
      <c r="D74" s="3">
        <v>59238</v>
      </c>
      <c r="E74" s="3"/>
      <c r="F74" s="7">
        <f t="shared" si="37"/>
        <v>59238</v>
      </c>
      <c r="G74" s="3">
        <v>530798.29</v>
      </c>
      <c r="H74" s="3"/>
      <c r="I74" s="7">
        <f t="shared" si="39"/>
        <v>530798.29</v>
      </c>
      <c r="J74" s="2"/>
      <c r="K74" s="2"/>
      <c r="L74" s="2"/>
      <c r="M74" s="2"/>
      <c r="N74" s="2"/>
      <c r="O74" s="2"/>
      <c r="P74" s="2"/>
      <c r="Q74" s="2"/>
      <c r="R74" s="2"/>
    </row>
    <row r="75" spans="2:18" s="29" customFormat="1" ht="15.6" customHeight="1" hidden="1" outlineLevel="1">
      <c r="B75" s="10">
        <v>6750</v>
      </c>
      <c r="C75" s="12" t="s">
        <v>300</v>
      </c>
      <c r="D75" s="3"/>
      <c r="E75" s="3">
        <v>28630</v>
      </c>
      <c r="F75" s="7">
        <f t="shared" si="37"/>
        <v>-28630</v>
      </c>
      <c r="G75" s="3">
        <v>268402</v>
      </c>
      <c r="H75" s="3">
        <v>282991</v>
      </c>
      <c r="I75" s="7">
        <f t="shared" si="39"/>
        <v>-14589</v>
      </c>
      <c r="J75" s="2"/>
      <c r="K75" s="2"/>
      <c r="L75" s="2"/>
      <c r="M75" s="2"/>
      <c r="N75" s="2"/>
      <c r="O75" s="2"/>
      <c r="P75" s="2"/>
      <c r="Q75" s="2"/>
      <c r="R75" s="2"/>
    </row>
    <row r="76" spans="2:18" s="29" customFormat="1" ht="15.6" customHeight="1" hidden="1" outlineLevel="1">
      <c r="B76" s="10">
        <v>6790</v>
      </c>
      <c r="C76" s="12" t="s">
        <v>254</v>
      </c>
      <c r="D76" s="3">
        <v>545.9</v>
      </c>
      <c r="E76" s="3">
        <v>540.4</v>
      </c>
      <c r="F76" s="7">
        <f t="shared" si="37"/>
        <v>5.5</v>
      </c>
      <c r="G76" s="3">
        <v>81210.87</v>
      </c>
      <c r="H76" s="3">
        <v>34419.65</v>
      </c>
      <c r="I76" s="7">
        <f t="shared" si="39"/>
        <v>46791.219999999994</v>
      </c>
      <c r="J76" s="2"/>
      <c r="K76" s="2"/>
      <c r="L76" s="2"/>
      <c r="M76" s="2"/>
      <c r="N76" s="2"/>
      <c r="O76" s="2"/>
      <c r="P76" s="2"/>
      <c r="Q76" s="2"/>
      <c r="R76" s="2"/>
    </row>
    <row r="77" spans="2:18" s="29" customFormat="1" ht="15.6" customHeight="1" collapsed="1">
      <c r="B77" s="8" t="s">
        <v>184</v>
      </c>
      <c r="C77" s="8"/>
      <c r="D77" s="4">
        <f aca="true" t="shared" si="40" ref="D77:E77">SUM(D71:D76)</f>
        <v>100113.4</v>
      </c>
      <c r="E77" s="4">
        <f t="shared" si="40"/>
        <v>29170.4</v>
      </c>
      <c r="F77" s="6">
        <f aca="true" t="shared" si="41" ref="F77:F81">_xlfn.IFERROR(D77-E77,0)</f>
        <v>70943</v>
      </c>
      <c r="G77" s="4">
        <f aca="true" t="shared" si="42" ref="G77:H77">SUM(G71:G76)</f>
        <v>1458344.6600000001</v>
      </c>
      <c r="H77" s="4">
        <f t="shared" si="42"/>
        <v>345185.65</v>
      </c>
      <c r="I77" s="6">
        <f aca="true" t="shared" si="43" ref="I77:I81">_xlfn.IFERROR(G77-H77,0)</f>
        <v>1113159.0100000002</v>
      </c>
      <c r="J77" s="2"/>
      <c r="K77" s="2"/>
      <c r="L77" s="2"/>
      <c r="M77" s="2"/>
      <c r="N77" s="2"/>
      <c r="O77" s="2"/>
      <c r="P77" s="2"/>
      <c r="Q77" s="2"/>
      <c r="R77" s="2"/>
    </row>
    <row r="78" spans="2:18" s="29" customFormat="1" ht="15.6" customHeight="1" hidden="1" outlineLevel="1">
      <c r="B78" s="10">
        <v>6810</v>
      </c>
      <c r="C78" s="12" t="s">
        <v>301</v>
      </c>
      <c r="D78" s="3">
        <v>370</v>
      </c>
      <c r="E78" s="3"/>
      <c r="F78" s="7">
        <f t="shared" si="41"/>
        <v>370</v>
      </c>
      <c r="G78" s="3">
        <v>25154.6</v>
      </c>
      <c r="H78" s="3"/>
      <c r="I78" s="7">
        <f t="shared" si="43"/>
        <v>25154.6</v>
      </c>
      <c r="J78" s="2"/>
      <c r="K78" s="2"/>
      <c r="L78" s="2"/>
      <c r="M78" s="2"/>
      <c r="N78" s="2"/>
      <c r="O78" s="2"/>
      <c r="P78" s="2"/>
      <c r="Q78" s="2"/>
      <c r="R78" s="2"/>
    </row>
    <row r="79" spans="2:18" s="29" customFormat="1" ht="15.6" customHeight="1" hidden="1" outlineLevel="1">
      <c r="B79" s="10">
        <v>6860</v>
      </c>
      <c r="C79" s="12" t="s">
        <v>364</v>
      </c>
      <c r="D79" s="3"/>
      <c r="E79" s="3"/>
      <c r="F79" s="7">
        <f t="shared" si="41"/>
        <v>0</v>
      </c>
      <c r="G79" s="3">
        <v>3000</v>
      </c>
      <c r="H79" s="3">
        <v>1200</v>
      </c>
      <c r="I79" s="7">
        <f t="shared" si="43"/>
        <v>1800</v>
      </c>
      <c r="J79" s="2"/>
      <c r="K79" s="2"/>
      <c r="L79" s="2"/>
      <c r="M79" s="2"/>
      <c r="N79" s="2"/>
      <c r="O79" s="2"/>
      <c r="P79" s="2"/>
      <c r="Q79" s="2"/>
      <c r="R79" s="2"/>
    </row>
    <row r="80" spans="2:18" s="29" customFormat="1" ht="15.6" customHeight="1" hidden="1" outlineLevel="1">
      <c r="B80" s="10">
        <v>6890</v>
      </c>
      <c r="C80" s="12" t="s">
        <v>255</v>
      </c>
      <c r="D80" s="3"/>
      <c r="E80" s="3"/>
      <c r="F80" s="7">
        <f t="shared" si="41"/>
        <v>0</v>
      </c>
      <c r="G80" s="3">
        <v>924.4</v>
      </c>
      <c r="H80" s="3">
        <v>317.5</v>
      </c>
      <c r="I80" s="7">
        <f t="shared" si="43"/>
        <v>606.9</v>
      </c>
      <c r="J80" s="2"/>
      <c r="K80" s="2"/>
      <c r="L80" s="2"/>
      <c r="M80" s="2"/>
      <c r="N80" s="2"/>
      <c r="O80" s="2"/>
      <c r="P80" s="2"/>
      <c r="Q80" s="2"/>
      <c r="R80" s="2"/>
    </row>
    <row r="81" spans="2:18" s="29" customFormat="1" ht="15.6" customHeight="1" hidden="1" outlineLevel="1">
      <c r="B81" s="10">
        <v>6900</v>
      </c>
      <c r="C81" s="12" t="s">
        <v>276</v>
      </c>
      <c r="D81" s="3"/>
      <c r="E81" s="3"/>
      <c r="F81" s="7">
        <f t="shared" si="41"/>
        <v>0</v>
      </c>
      <c r="G81" s="3"/>
      <c r="H81" s="3">
        <v>303.2</v>
      </c>
      <c r="I81" s="7">
        <f t="shared" si="43"/>
        <v>-303.2</v>
      </c>
      <c r="J81" s="2"/>
      <c r="K81" s="2"/>
      <c r="L81" s="2"/>
      <c r="M81" s="2"/>
      <c r="N81" s="2"/>
      <c r="O81" s="2"/>
      <c r="P81" s="2"/>
      <c r="Q81" s="2"/>
      <c r="R81" s="2"/>
    </row>
    <row r="82" spans="2:18" s="29" customFormat="1" ht="15.6" customHeight="1" collapsed="1">
      <c r="B82" s="8" t="s">
        <v>185</v>
      </c>
      <c r="C82" s="8"/>
      <c r="D82" s="4">
        <f aca="true" t="shared" si="44" ref="D82:E82">SUM(D78:D81)</f>
        <v>370</v>
      </c>
      <c r="E82" s="4">
        <f t="shared" si="44"/>
        <v>0</v>
      </c>
      <c r="F82" s="6">
        <f aca="true" t="shared" si="45" ref="F82:F90">_xlfn.IFERROR(D82-E82,0)</f>
        <v>370</v>
      </c>
      <c r="G82" s="4">
        <f aca="true" t="shared" si="46" ref="G82:H82">SUM(G78:G81)</f>
        <v>29079</v>
      </c>
      <c r="H82" s="4">
        <f t="shared" si="46"/>
        <v>1820.7</v>
      </c>
      <c r="I82" s="6">
        <f aca="true" t="shared" si="47" ref="I82:I90">_xlfn.IFERROR(G82-H82,0)</f>
        <v>27258.3</v>
      </c>
      <c r="J82" s="2"/>
      <c r="K82" s="2"/>
      <c r="L82" s="2"/>
      <c r="M82" s="2"/>
      <c r="N82" s="2"/>
      <c r="O82" s="2"/>
      <c r="P82" s="2"/>
      <c r="Q82" s="2"/>
      <c r="R82" s="2"/>
    </row>
    <row r="83" spans="2:18" s="29" customFormat="1" ht="15.6" customHeight="1" hidden="1" outlineLevel="1">
      <c r="B83" s="10">
        <v>7000</v>
      </c>
      <c r="C83" s="12" t="s">
        <v>365</v>
      </c>
      <c r="D83" s="3"/>
      <c r="E83" s="3"/>
      <c r="F83" s="7">
        <f t="shared" si="45"/>
        <v>0</v>
      </c>
      <c r="G83" s="3">
        <v>1189.98</v>
      </c>
      <c r="H83" s="3"/>
      <c r="I83" s="7">
        <f t="shared" si="47"/>
        <v>1189.98</v>
      </c>
      <c r="J83" s="2"/>
      <c r="K83" s="2"/>
      <c r="L83" s="2"/>
      <c r="M83" s="2"/>
      <c r="N83" s="2"/>
      <c r="O83" s="2"/>
      <c r="P83" s="2"/>
      <c r="Q83" s="2"/>
      <c r="R83" s="2"/>
    </row>
    <row r="84" spans="2:18" s="29" customFormat="1" ht="15.6" customHeight="1" hidden="1" outlineLevel="1">
      <c r="B84" s="10">
        <v>7040</v>
      </c>
      <c r="C84" s="12" t="s">
        <v>302</v>
      </c>
      <c r="D84" s="3">
        <v>1880.07</v>
      </c>
      <c r="E84" s="3">
        <v>183.66</v>
      </c>
      <c r="F84" s="7">
        <f t="shared" si="45"/>
        <v>1696.4099999999999</v>
      </c>
      <c r="G84" s="3">
        <v>20864.51</v>
      </c>
      <c r="H84" s="3">
        <v>2823.97</v>
      </c>
      <c r="I84" s="7">
        <f t="shared" si="47"/>
        <v>18040.539999999997</v>
      </c>
      <c r="J84" s="2"/>
      <c r="K84" s="2"/>
      <c r="L84" s="2"/>
      <c r="M84" s="2"/>
      <c r="N84" s="2"/>
      <c r="O84" s="2"/>
      <c r="P84" s="2"/>
      <c r="Q84" s="2"/>
      <c r="R84" s="2"/>
    </row>
    <row r="85" spans="2:18" s="29" customFormat="1" ht="15.6" customHeight="1" hidden="1" outlineLevel="1">
      <c r="B85" s="10">
        <v>7105</v>
      </c>
      <c r="C85" s="12" t="s">
        <v>256</v>
      </c>
      <c r="D85" s="3">
        <v>0.27</v>
      </c>
      <c r="E85" s="3">
        <v>-0.16</v>
      </c>
      <c r="F85" s="7">
        <f t="shared" si="45"/>
        <v>0.43000000000000005</v>
      </c>
      <c r="G85" s="3">
        <v>-6.42</v>
      </c>
      <c r="H85" s="3">
        <v>-0.64</v>
      </c>
      <c r="I85" s="7">
        <f t="shared" si="47"/>
        <v>-5.78</v>
      </c>
      <c r="J85" s="2"/>
      <c r="K85" s="2"/>
      <c r="L85" s="2"/>
      <c r="M85" s="2"/>
      <c r="N85" s="2"/>
      <c r="O85" s="2"/>
      <c r="P85" s="2"/>
      <c r="Q85" s="2"/>
      <c r="R85" s="2"/>
    </row>
    <row r="86" spans="2:18" s="29" customFormat="1" ht="15.6" customHeight="1" hidden="1" outlineLevel="1">
      <c r="B86" s="10">
        <v>7140</v>
      </c>
      <c r="C86" s="12" t="s">
        <v>141</v>
      </c>
      <c r="D86" s="3"/>
      <c r="E86" s="3"/>
      <c r="F86" s="7">
        <f t="shared" si="45"/>
        <v>0</v>
      </c>
      <c r="G86" s="3">
        <v>4189.45</v>
      </c>
      <c r="H86" s="3">
        <v>3555.45</v>
      </c>
      <c r="I86" s="7">
        <f t="shared" si="47"/>
        <v>634</v>
      </c>
      <c r="J86" s="2"/>
      <c r="K86" s="2"/>
      <c r="L86" s="2"/>
      <c r="M86" s="2"/>
      <c r="N86" s="2"/>
      <c r="O86" s="2"/>
      <c r="P86" s="2"/>
      <c r="Q86" s="2"/>
      <c r="R86" s="2"/>
    </row>
    <row r="87" spans="2:18" s="29" customFormat="1" ht="15.6" customHeight="1" hidden="1" outlineLevel="1">
      <c r="B87" s="10">
        <v>7320</v>
      </c>
      <c r="C87" s="12" t="s">
        <v>366</v>
      </c>
      <c r="D87" s="3">
        <v>20250.4</v>
      </c>
      <c r="E87" s="3"/>
      <c r="F87" s="7">
        <f t="shared" si="45"/>
        <v>20250.4</v>
      </c>
      <c r="G87" s="3">
        <v>38859.07</v>
      </c>
      <c r="H87" s="3">
        <v>10200</v>
      </c>
      <c r="I87" s="7">
        <f t="shared" si="47"/>
        <v>28659.07</v>
      </c>
      <c r="J87" s="2"/>
      <c r="K87" s="2"/>
      <c r="L87" s="2"/>
      <c r="M87" s="2"/>
      <c r="N87" s="2"/>
      <c r="O87" s="2"/>
      <c r="P87" s="2"/>
      <c r="Q87" s="2"/>
      <c r="R87" s="2"/>
    </row>
    <row r="88" spans="2:18" s="29" customFormat="1" ht="15.6" customHeight="1" hidden="1" outlineLevel="1">
      <c r="B88" s="10">
        <v>7360</v>
      </c>
      <c r="C88" s="12" t="s">
        <v>65</v>
      </c>
      <c r="D88" s="3"/>
      <c r="E88" s="3"/>
      <c r="F88" s="7">
        <f t="shared" si="45"/>
        <v>0</v>
      </c>
      <c r="G88" s="3">
        <v>4877.36</v>
      </c>
      <c r="H88" s="3"/>
      <c r="I88" s="7">
        <f t="shared" si="47"/>
        <v>4877.36</v>
      </c>
      <c r="J88" s="2"/>
      <c r="K88" s="2"/>
      <c r="L88" s="2"/>
      <c r="M88" s="2"/>
      <c r="N88" s="2"/>
      <c r="O88" s="2"/>
      <c r="P88" s="2"/>
      <c r="Q88" s="2"/>
      <c r="R88" s="2"/>
    </row>
    <row r="89" spans="2:18" s="29" customFormat="1" ht="15.6" customHeight="1" hidden="1" outlineLevel="1">
      <c r="B89" s="10">
        <v>7770</v>
      </c>
      <c r="C89" s="12" t="s">
        <v>40</v>
      </c>
      <c r="D89" s="3">
        <v>2734.6</v>
      </c>
      <c r="E89" s="3">
        <v>1358.12</v>
      </c>
      <c r="F89" s="7">
        <f t="shared" si="45"/>
        <v>1376.48</v>
      </c>
      <c r="G89" s="3">
        <v>31955.79</v>
      </c>
      <c r="H89" s="3">
        <v>9454.44</v>
      </c>
      <c r="I89" s="7">
        <f t="shared" si="47"/>
        <v>22501.35</v>
      </c>
      <c r="J89" s="2"/>
      <c r="K89" s="2"/>
      <c r="L89" s="2"/>
      <c r="M89" s="2"/>
      <c r="N89" s="2"/>
      <c r="O89" s="2"/>
      <c r="P89" s="2"/>
      <c r="Q89" s="2"/>
      <c r="R89" s="2"/>
    </row>
    <row r="90" spans="2:18" s="29" customFormat="1" ht="15.6" customHeight="1" hidden="1" outlineLevel="1">
      <c r="B90" s="10">
        <v>7790</v>
      </c>
      <c r="C90" s="12" t="s">
        <v>211</v>
      </c>
      <c r="D90" s="3">
        <v>255.62</v>
      </c>
      <c r="E90" s="3">
        <v>3032.78</v>
      </c>
      <c r="F90" s="7">
        <f t="shared" si="45"/>
        <v>-2777.1600000000003</v>
      </c>
      <c r="G90" s="3">
        <v>38751.38</v>
      </c>
      <c r="H90" s="3">
        <v>7453.56</v>
      </c>
      <c r="I90" s="7">
        <f t="shared" si="47"/>
        <v>31297.819999999996</v>
      </c>
      <c r="J90" s="2"/>
      <c r="K90" s="2"/>
      <c r="L90" s="2"/>
      <c r="M90" s="2"/>
      <c r="N90" s="2"/>
      <c r="O90" s="2"/>
      <c r="P90" s="2"/>
      <c r="Q90" s="2"/>
      <c r="R90" s="2"/>
    </row>
    <row r="91" spans="2:18" s="29" customFormat="1" ht="15.6" customHeight="1" collapsed="1">
      <c r="B91" s="8" t="s">
        <v>158</v>
      </c>
      <c r="C91" s="8"/>
      <c r="D91" s="4">
        <f aca="true" t="shared" si="48" ref="D91:E91">SUM(D83:D90)</f>
        <v>25120.96</v>
      </c>
      <c r="E91" s="4">
        <f t="shared" si="48"/>
        <v>4574.4</v>
      </c>
      <c r="F91" s="6">
        <f aca="true" t="shared" si="49" ref="F91:F92">_xlfn.IFERROR(D91-E91,0)</f>
        <v>20546.559999999998</v>
      </c>
      <c r="G91" s="4">
        <f aca="true" t="shared" si="50" ref="G91:H91">SUM(G83:G90)</f>
        <v>140681.12</v>
      </c>
      <c r="H91" s="4">
        <f t="shared" si="50"/>
        <v>33486.78</v>
      </c>
      <c r="I91" s="6">
        <f aca="true" t="shared" si="51" ref="I91:I92">_xlfn.IFERROR(G91-H91,0)</f>
        <v>107194.34</v>
      </c>
      <c r="J91" s="2"/>
      <c r="K91" s="2"/>
      <c r="L91" s="2"/>
      <c r="M91" s="2"/>
      <c r="N91" s="2"/>
      <c r="O91" s="2"/>
      <c r="P91" s="2"/>
      <c r="Q91" s="2"/>
      <c r="R91" s="2"/>
    </row>
    <row r="92" spans="2:18" s="29" customFormat="1" ht="15.6" customHeight="1">
      <c r="B92" s="30" t="s">
        <v>214</v>
      </c>
      <c r="C92" s="30"/>
      <c r="D92" s="17">
        <f aca="true" t="shared" si="52" ref="D92:E92">D52+D53+D59+D60+D67+D70+D77+D82+D91</f>
        <v>342387.56</v>
      </c>
      <c r="E92" s="17">
        <f t="shared" si="52"/>
        <v>195386.13</v>
      </c>
      <c r="F92" s="31">
        <f t="shared" si="49"/>
        <v>147001.43</v>
      </c>
      <c r="G92" s="17">
        <f aca="true" t="shared" si="53" ref="G92:H92">G52+G53+G59+G60+G67+G70+G77+G82+G91</f>
        <v>4359593.63</v>
      </c>
      <c r="H92" s="17">
        <f t="shared" si="53"/>
        <v>1436596.31</v>
      </c>
      <c r="I92" s="31">
        <f t="shared" si="51"/>
        <v>2922997.32</v>
      </c>
      <c r="J92" s="2"/>
      <c r="K92" s="2"/>
      <c r="L92" s="2"/>
      <c r="M92" s="2"/>
      <c r="N92" s="2"/>
      <c r="O92" s="2"/>
      <c r="P92" s="2"/>
      <c r="Q92" s="2"/>
      <c r="R92" s="2"/>
    </row>
    <row r="93" spans="2:9" s="29" customFormat="1" ht="6.6" customHeight="1" thickBot="1">
      <c r="B93" s="14"/>
      <c r="C93" s="14"/>
      <c r="D93" s="15"/>
      <c r="E93" s="15"/>
      <c r="F93" s="23"/>
      <c r="G93" s="16"/>
      <c r="H93" s="16"/>
      <c r="I93" s="26"/>
    </row>
    <row r="94" spans="2:18" s="29" customFormat="1" ht="21.6" customHeight="1" thickTop="1">
      <c r="B94" s="37" t="s">
        <v>43</v>
      </c>
      <c r="C94" s="36"/>
      <c r="D94" s="11">
        <f aca="true" t="shared" si="54" ref="D94:E94">D41-D92</f>
        <v>262490.83</v>
      </c>
      <c r="E94" s="11">
        <f t="shared" si="54"/>
        <v>-173667.64999999997</v>
      </c>
      <c r="F94" s="22">
        <f>_xlfn.IFERROR(D94-E94,0)</f>
        <v>436158.48</v>
      </c>
      <c r="G94" s="11">
        <f aca="true" t="shared" si="55" ref="G94:H94">G41-G92</f>
        <v>-1468653.7599999998</v>
      </c>
      <c r="H94" s="11">
        <f t="shared" si="55"/>
        <v>-318408.52</v>
      </c>
      <c r="I94" s="22">
        <f>_xlfn.IFERROR(G94-H94,0)</f>
        <v>-1150245.2399999998</v>
      </c>
      <c r="J94" s="2"/>
      <c r="K94" s="2"/>
      <c r="L94" s="2"/>
      <c r="M94" s="2"/>
      <c r="N94" s="2"/>
      <c r="O94" s="2"/>
      <c r="P94" s="2"/>
      <c r="Q94" s="2"/>
      <c r="R94" s="2"/>
    </row>
    <row r="95" spans="2:9" s="29" customFormat="1" ht="6.6" customHeight="1">
      <c r="B95" s="14"/>
      <c r="C95" s="14"/>
      <c r="D95" s="15"/>
      <c r="E95" s="15"/>
      <c r="F95" s="23"/>
      <c r="G95" s="16"/>
      <c r="H95" s="16"/>
      <c r="I95" s="26"/>
    </row>
    <row r="96" spans="2:18" s="29" customFormat="1" ht="15.6" customHeight="1" hidden="1" outlineLevel="1">
      <c r="B96" s="10">
        <v>6015</v>
      </c>
      <c r="C96" s="12" t="s">
        <v>157</v>
      </c>
      <c r="D96" s="3">
        <v>2005</v>
      </c>
      <c r="E96" s="3">
        <v>1517.72</v>
      </c>
      <c r="F96" s="7">
        <f aca="true" t="shared" si="56" ref="F96:F98">_xlfn.IFERROR(D96-E96,0)</f>
        <v>487.28</v>
      </c>
      <c r="G96" s="3">
        <v>24068</v>
      </c>
      <c r="H96" s="3">
        <v>24067.72</v>
      </c>
      <c r="I96" s="7">
        <f aca="true" t="shared" si="57" ref="I96:I98">_xlfn.IFERROR(G96-H96,0)</f>
        <v>0.27999999999883585</v>
      </c>
      <c r="J96" s="2"/>
      <c r="K96" s="2"/>
      <c r="L96" s="2"/>
      <c r="M96" s="2"/>
      <c r="N96" s="2"/>
      <c r="O96" s="2"/>
      <c r="P96" s="2"/>
      <c r="Q96" s="2"/>
      <c r="R96" s="2"/>
    </row>
    <row r="97" spans="2:18" s="29" customFormat="1" ht="15.6" customHeight="1" collapsed="1">
      <c r="B97" s="8" t="s">
        <v>123</v>
      </c>
      <c r="C97" s="8"/>
      <c r="D97" s="4">
        <f aca="true" t="shared" si="58" ref="D97:E97">SUM(D96)</f>
        <v>2005</v>
      </c>
      <c r="E97" s="4">
        <f t="shared" si="58"/>
        <v>1517.72</v>
      </c>
      <c r="F97" s="6">
        <f t="shared" si="56"/>
        <v>487.28</v>
      </c>
      <c r="G97" s="4">
        <f aca="true" t="shared" si="59" ref="G97:H97">SUM(G96)</f>
        <v>24068</v>
      </c>
      <c r="H97" s="4">
        <f t="shared" si="59"/>
        <v>24067.72</v>
      </c>
      <c r="I97" s="6">
        <f t="shared" si="57"/>
        <v>0.27999999999883585</v>
      </c>
      <c r="J97" s="2"/>
      <c r="K97" s="2"/>
      <c r="L97" s="2"/>
      <c r="M97" s="2"/>
      <c r="N97" s="2"/>
      <c r="O97" s="2"/>
      <c r="P97" s="2"/>
      <c r="Q97" s="2"/>
      <c r="R97" s="2"/>
    </row>
    <row r="98" spans="2:18" s="29" customFormat="1" ht="15.6" customHeight="1">
      <c r="B98" s="30" t="s">
        <v>277</v>
      </c>
      <c r="C98" s="30"/>
      <c r="D98" s="17">
        <f aca="true" t="shared" si="60" ref="D98:E98">D92+D97</f>
        <v>344392.56</v>
      </c>
      <c r="E98" s="17">
        <f t="shared" si="60"/>
        <v>196903.85</v>
      </c>
      <c r="F98" s="31">
        <f t="shared" si="56"/>
        <v>147488.71</v>
      </c>
      <c r="G98" s="17">
        <f aca="true" t="shared" si="61" ref="G98:H98">G92+G97</f>
        <v>4383661.63</v>
      </c>
      <c r="H98" s="17">
        <f t="shared" si="61"/>
        <v>1460664.03</v>
      </c>
      <c r="I98" s="31">
        <f t="shared" si="57"/>
        <v>2922997.5999999996</v>
      </c>
      <c r="J98" s="2"/>
      <c r="K98" s="2"/>
      <c r="L98" s="2"/>
      <c r="M98" s="2"/>
      <c r="N98" s="2"/>
      <c r="O98" s="2"/>
      <c r="P98" s="2"/>
      <c r="Q98" s="2"/>
      <c r="R98" s="2"/>
    </row>
    <row r="99" spans="2:9" s="29" customFormat="1" ht="6.6" customHeight="1" thickBot="1">
      <c r="B99" s="14"/>
      <c r="C99" s="14"/>
      <c r="D99" s="15"/>
      <c r="E99" s="15"/>
      <c r="F99" s="23"/>
      <c r="G99" s="16"/>
      <c r="H99" s="16"/>
      <c r="I99" s="26"/>
    </row>
    <row r="100" spans="2:18" s="29" customFormat="1" ht="21.6" customHeight="1" thickTop="1">
      <c r="B100" s="37" t="s">
        <v>304</v>
      </c>
      <c r="C100" s="36"/>
      <c r="D100" s="11">
        <f aca="true" t="shared" si="62" ref="D100:E100">D94-D97</f>
        <v>260485.83000000002</v>
      </c>
      <c r="E100" s="11">
        <f t="shared" si="62"/>
        <v>-175185.36999999997</v>
      </c>
      <c r="F100" s="22">
        <f>_xlfn.IFERROR(D100-E100,0)</f>
        <v>435671.19999999995</v>
      </c>
      <c r="G100" s="11">
        <f aca="true" t="shared" si="63" ref="G100:H100">G94-G97</f>
        <v>-1492721.7599999998</v>
      </c>
      <c r="H100" s="11">
        <f t="shared" si="63"/>
        <v>-342476.24</v>
      </c>
      <c r="I100" s="22">
        <f>_xlfn.IFERROR(G100-H100,0)</f>
        <v>-1150245.5199999998</v>
      </c>
      <c r="J100" s="2"/>
      <c r="K100" s="2"/>
      <c r="L100" s="2"/>
      <c r="M100" s="2"/>
      <c r="N100" s="2"/>
      <c r="O100" s="2"/>
      <c r="P100" s="2"/>
      <c r="Q100" s="2"/>
      <c r="R100" s="2"/>
    </row>
    <row r="101" spans="2:9" s="29" customFormat="1" ht="6.6" customHeight="1">
      <c r="B101" s="14"/>
      <c r="C101" s="14"/>
      <c r="D101" s="15"/>
      <c r="E101" s="15"/>
      <c r="F101" s="23"/>
      <c r="G101" s="16"/>
      <c r="H101" s="16"/>
      <c r="I101" s="26"/>
    </row>
    <row r="102" spans="2:18" s="29" customFormat="1" ht="15.6" customHeight="1" hidden="1" outlineLevel="1">
      <c r="B102" s="10">
        <v>8030</v>
      </c>
      <c r="C102" s="12" t="s">
        <v>303</v>
      </c>
      <c r="D102" s="3">
        <f>0</f>
        <v>0</v>
      </c>
      <c r="E102" s="3">
        <f>--10280</f>
        <v>10280</v>
      </c>
      <c r="F102" s="7">
        <f aca="true" t="shared" si="64" ref="F102:F104">_xlfn.IFERROR(D102-E102,0)</f>
        <v>-10280</v>
      </c>
      <c r="G102" s="3">
        <f>0</f>
        <v>0</v>
      </c>
      <c r="H102" s="3">
        <f>--10280</f>
        <v>10280</v>
      </c>
      <c r="I102" s="7">
        <f aca="true" t="shared" si="65" ref="I102:I104">_xlfn.IFERROR(G102-H102,0)</f>
        <v>-10280</v>
      </c>
      <c r="J102" s="2"/>
      <c r="K102" s="2"/>
      <c r="L102" s="2"/>
      <c r="M102" s="2"/>
      <c r="N102" s="2"/>
      <c r="O102" s="2"/>
      <c r="P102" s="2"/>
      <c r="Q102" s="2"/>
      <c r="R102" s="2"/>
    </row>
    <row r="103" spans="2:18" s="29" customFormat="1" ht="15.6" customHeight="1" hidden="1" outlineLevel="1">
      <c r="B103" s="10">
        <v>8150</v>
      </c>
      <c r="C103" s="12" t="s">
        <v>341</v>
      </c>
      <c r="D103" s="3"/>
      <c r="E103" s="3"/>
      <c r="F103" s="7">
        <f t="shared" si="64"/>
        <v>0</v>
      </c>
      <c r="G103" s="3">
        <v>446.01</v>
      </c>
      <c r="H103" s="3">
        <v>77.71</v>
      </c>
      <c r="I103" s="7">
        <f t="shared" si="65"/>
        <v>368.3</v>
      </c>
      <c r="J103" s="2"/>
      <c r="K103" s="2"/>
      <c r="L103" s="2"/>
      <c r="M103" s="2"/>
      <c r="N103" s="2"/>
      <c r="O103" s="2"/>
      <c r="P103" s="2"/>
      <c r="Q103" s="2"/>
      <c r="R103" s="2"/>
    </row>
    <row r="104" spans="2:18" s="29" customFormat="1" ht="15.6" customHeight="1" hidden="1" outlineLevel="1">
      <c r="B104" s="10">
        <v>8160</v>
      </c>
      <c r="C104" s="12" t="s">
        <v>212</v>
      </c>
      <c r="D104" s="3"/>
      <c r="E104" s="3"/>
      <c r="F104" s="7">
        <f t="shared" si="64"/>
        <v>0</v>
      </c>
      <c r="G104" s="3">
        <v>132.98</v>
      </c>
      <c r="H104" s="3"/>
      <c r="I104" s="7">
        <f t="shared" si="65"/>
        <v>132.98</v>
      </c>
      <c r="J104" s="2"/>
      <c r="K104" s="2"/>
      <c r="L104" s="2"/>
      <c r="M104" s="2"/>
      <c r="N104" s="2"/>
      <c r="O104" s="2"/>
      <c r="P104" s="2"/>
      <c r="Q104" s="2"/>
      <c r="R104" s="2"/>
    </row>
    <row r="105" spans="2:18" s="29" customFormat="1" ht="15.6" customHeight="1" collapsed="1">
      <c r="B105" s="19" t="s">
        <v>67</v>
      </c>
      <c r="C105" s="19"/>
      <c r="D105" s="4">
        <f aca="true" t="shared" si="66" ref="D105:I105">SUM(D102)-SUM(D103:D104)</f>
        <v>0</v>
      </c>
      <c r="E105" s="4">
        <f t="shared" si="66"/>
        <v>10280</v>
      </c>
      <c r="F105" s="6">
        <f t="shared" si="66"/>
        <v>-10280</v>
      </c>
      <c r="G105" s="4">
        <f t="shared" si="66"/>
        <v>-578.99</v>
      </c>
      <c r="H105" s="4">
        <f t="shared" si="66"/>
        <v>10202.29</v>
      </c>
      <c r="I105" s="6">
        <f t="shared" si="66"/>
        <v>-10781.28</v>
      </c>
      <c r="J105" s="2"/>
      <c r="K105" s="2"/>
      <c r="L105" s="2"/>
      <c r="M105" s="2"/>
      <c r="N105" s="2"/>
      <c r="O105" s="2"/>
      <c r="P105" s="2"/>
      <c r="Q105" s="2"/>
      <c r="R105" s="2"/>
    </row>
    <row r="106" spans="2:9" s="29" customFormat="1" ht="6.6" customHeight="1" thickBot="1">
      <c r="B106" s="14"/>
      <c r="C106" s="14"/>
      <c r="D106" s="15"/>
      <c r="E106" s="15"/>
      <c r="F106" s="23"/>
      <c r="G106" s="16"/>
      <c r="H106" s="16"/>
      <c r="I106" s="26"/>
    </row>
    <row r="107" spans="2:18" s="29" customFormat="1" ht="21.6" customHeight="1" thickBot="1" thickTop="1">
      <c r="B107" s="45" t="s">
        <v>159</v>
      </c>
      <c r="C107" s="45"/>
      <c r="D107" s="32">
        <f aca="true" t="shared" si="67" ref="D107:E107">D100+D105</f>
        <v>260485.83000000002</v>
      </c>
      <c r="E107" s="32">
        <f t="shared" si="67"/>
        <v>-164905.36999999997</v>
      </c>
      <c r="F107" s="41">
        <f>_xlfn.IFERROR(D107-E107,0)</f>
        <v>425391.19999999995</v>
      </c>
      <c r="G107" s="32">
        <f aca="true" t="shared" si="68" ref="G107:H107">G100+G105</f>
        <v>-1493300.7499999998</v>
      </c>
      <c r="H107" s="32">
        <f t="shared" si="68"/>
        <v>-332273.95</v>
      </c>
      <c r="I107" s="41">
        <f>_xlfn.IFERROR(G107-H107,0)</f>
        <v>-1161026.7999999998</v>
      </c>
      <c r="J107" s="2"/>
      <c r="K107" s="2"/>
      <c r="L107" s="2"/>
      <c r="M107" s="2"/>
      <c r="N107" s="2"/>
      <c r="O107" s="2"/>
      <c r="P107" s="2"/>
      <c r="Q107" s="2"/>
      <c r="R107" s="2"/>
    </row>
    <row r="108" ht="16.2" customHeight="1" thickTop="1"/>
    <row r="109" spans="2:18" s="38" customFormat="1" ht="15.6" customHeight="1">
      <c r="B109" s="50" t="s">
        <v>305</v>
      </c>
      <c r="C109" s="27"/>
      <c r="D109" s="25"/>
      <c r="E109" s="25"/>
      <c r="F109" s="25"/>
      <c r="G109" s="25"/>
      <c r="H109" s="25"/>
      <c r="J109" s="5"/>
      <c r="K109" s="5"/>
      <c r="L109" s="5"/>
      <c r="M109" s="5"/>
      <c r="N109" s="5"/>
      <c r="O109" s="5"/>
      <c r="P109" s="5"/>
      <c r="Q109" s="5"/>
      <c r="R109" s="5"/>
    </row>
    <row r="110" spans="2:8" s="38" customFormat="1" ht="6.6" customHeight="1">
      <c r="B110" s="19"/>
      <c r="C110" s="19"/>
      <c r="D110" s="28"/>
      <c r="E110" s="28"/>
      <c r="F110" s="28"/>
      <c r="G110" s="28"/>
      <c r="H110" s="55"/>
    </row>
    <row r="111" spans="2:18" s="38" customFormat="1" ht="21.6" customHeight="1">
      <c r="B111" s="53" t="s">
        <v>93</v>
      </c>
      <c r="C111" s="51"/>
      <c r="D111" s="21">
        <f aca="true" t="shared" si="69" ref="D111:E111">_xlfn.IFERROR(D41/D27,0)</f>
        <v>0.7407888905864461</v>
      </c>
      <c r="E111" s="21">
        <f t="shared" si="69"/>
        <v>0.0794222337552613</v>
      </c>
      <c r="F111" s="21"/>
      <c r="G111" s="21">
        <f aca="true" t="shared" si="70" ref="G111:H111">_xlfn.IFERROR(G41/G27,0)</f>
        <v>0.5619861744754306</v>
      </c>
      <c r="H111" s="21">
        <f t="shared" si="70"/>
        <v>0.6054898450089353</v>
      </c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2:18" s="38" customFormat="1" ht="21.6" customHeight="1">
      <c r="B112" s="53" t="s">
        <v>235</v>
      </c>
      <c r="C112" s="51"/>
      <c r="D112" s="21">
        <f aca="true" t="shared" si="71" ref="D112:E112">_xlfn.IFERROR((D94)/D27,0)</f>
        <v>0.32147005738594076</v>
      </c>
      <c r="E112" s="21">
        <f t="shared" si="71"/>
        <v>-0.6350846235108019</v>
      </c>
      <c r="F112" s="21"/>
      <c r="G112" s="21">
        <f aca="true" t="shared" si="72" ref="G112:H112">_xlfn.IFERROR((G94)/G27,0)</f>
        <v>-0.2854999222835296</v>
      </c>
      <c r="H112" s="21">
        <f t="shared" si="72"/>
        <v>-0.17241569542118187</v>
      </c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2:18" s="38" customFormat="1" ht="21.6" customHeight="1">
      <c r="B113" s="53" t="s">
        <v>44</v>
      </c>
      <c r="C113" s="51"/>
      <c r="D113" s="21">
        <f aca="true" t="shared" si="73" ref="D113:E113">_xlfn.IFERROR(D107/D27,0)</f>
        <v>0.31901455269246703</v>
      </c>
      <c r="E113" s="21">
        <f t="shared" si="73"/>
        <v>-0.6030418723427159</v>
      </c>
      <c r="F113" s="21"/>
      <c r="G113" s="21">
        <f aca="true" t="shared" si="74" ref="G113:H113">_xlfn.IFERROR(G107/G27,0)</f>
        <v>-0.29029119026048483</v>
      </c>
      <c r="H113" s="21">
        <f t="shared" si="74"/>
        <v>-0.17992371611033842</v>
      </c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2:18" s="38" customFormat="1" ht="6.6" customHeight="1">
      <c r="B114" s="53"/>
      <c r="C114" s="51"/>
      <c r="D114" s="21"/>
      <c r="E114" s="21"/>
      <c r="F114" s="21"/>
      <c r="G114" s="21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7" ht="15">
      <c r="B117" s="54" t="s">
        <v>236</v>
      </c>
    </row>
  </sheetData>
  <mergeCells count="4">
    <mergeCell ref="B6:C6"/>
    <mergeCell ref="H8:I8"/>
    <mergeCell ref="D10:E10"/>
    <mergeCell ref="G10:H10"/>
  </mergeCells>
  <printOptions/>
  <pageMargins left="0.7" right="0.7" top="0.75" bottom="0.75" header="0.3" footer="0.3"/>
  <pageSetup fitToHeight="1" fitToWidth="1"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D60D2-A737-4C21-8AE4-6365643A79EB}">
  <dimension ref="A1:E120"/>
  <sheetViews>
    <sheetView tabSelected="1" workbookViewId="0" topLeftCell="A1">
      <selection activeCell="M18" sqref="M18"/>
    </sheetView>
  </sheetViews>
  <sheetFormatPr defaultColWidth="11.421875" defaultRowHeight="15"/>
  <sheetData>
    <row r="1" spans="1:5" ht="15.6">
      <c r="A1" s="69" t="s">
        <v>367</v>
      </c>
      <c r="B1" s="68"/>
      <c r="C1" s="68"/>
      <c r="D1" s="68"/>
      <c r="E1" s="68"/>
    </row>
    <row r="2" spans="1:5" ht="15">
      <c r="A2" s="70" t="s">
        <v>368</v>
      </c>
      <c r="B2" s="70" t="s">
        <v>369</v>
      </c>
      <c r="C2" s="70" t="s">
        <v>370</v>
      </c>
      <c r="D2" s="70" t="s">
        <v>371</v>
      </c>
      <c r="E2" s="70" t="s">
        <v>372</v>
      </c>
    </row>
    <row r="3" spans="1:5" ht="15">
      <c r="A3" s="68">
        <v>1070</v>
      </c>
      <c r="B3" s="71" t="s">
        <v>373</v>
      </c>
      <c r="C3" s="72">
        <v>30129</v>
      </c>
      <c r="D3" s="72">
        <v>0</v>
      </c>
      <c r="E3" s="72">
        <v>30129</v>
      </c>
    </row>
    <row r="4" spans="1:5" ht="15">
      <c r="A4" s="68">
        <v>1200</v>
      </c>
      <c r="B4" s="71" t="s">
        <v>374</v>
      </c>
      <c r="C4" s="72">
        <v>-0.4</v>
      </c>
      <c r="D4" s="72">
        <v>0.4</v>
      </c>
      <c r="E4" s="72">
        <v>0</v>
      </c>
    </row>
    <row r="5" spans="1:5" ht="15">
      <c r="A5" s="68">
        <v>1205</v>
      </c>
      <c r="B5" s="71" t="s">
        <v>375</v>
      </c>
      <c r="C5" s="72">
        <v>0.1</v>
      </c>
      <c r="D5" s="72">
        <v>-0.1</v>
      </c>
      <c r="E5" s="72">
        <v>0</v>
      </c>
    </row>
    <row r="6" spans="1:5" ht="15">
      <c r="A6" s="68">
        <v>1250</v>
      </c>
      <c r="B6" s="71" t="s">
        <v>119</v>
      </c>
      <c r="C6" s="72">
        <v>90767.2</v>
      </c>
      <c r="D6" s="72">
        <v>333184.8</v>
      </c>
      <c r="E6" s="72">
        <v>423952</v>
      </c>
    </row>
    <row r="7" spans="1:5" ht="15">
      <c r="A7" s="68">
        <v>1251</v>
      </c>
      <c r="B7" s="71" t="s">
        <v>376</v>
      </c>
      <c r="C7" s="72">
        <v>15000</v>
      </c>
      <c r="D7" s="72">
        <v>0</v>
      </c>
      <c r="E7" s="72">
        <v>15000</v>
      </c>
    </row>
    <row r="8" spans="1:5" ht="15">
      <c r="A8" s="68">
        <v>1255</v>
      </c>
      <c r="B8" s="71" t="s">
        <v>377</v>
      </c>
      <c r="C8" s="72">
        <v>366600</v>
      </c>
      <c r="D8" s="72">
        <v>54162.6</v>
      </c>
      <c r="E8" s="72">
        <v>420762.6</v>
      </c>
    </row>
    <row r="9" spans="1:5" ht="15">
      <c r="A9" s="68">
        <v>1256</v>
      </c>
      <c r="B9" s="71" t="s">
        <v>378</v>
      </c>
      <c r="C9" s="72">
        <v>0</v>
      </c>
      <c r="D9" s="72">
        <v>39480</v>
      </c>
      <c r="E9" s="72">
        <v>39480</v>
      </c>
    </row>
    <row r="10" spans="1:5" ht="15">
      <c r="A10" s="68">
        <v>1260</v>
      </c>
      <c r="B10" s="71" t="s">
        <v>379</v>
      </c>
      <c r="C10" s="72">
        <v>61400</v>
      </c>
      <c r="D10" s="72">
        <v>0</v>
      </c>
      <c r="E10" s="72">
        <v>61400</v>
      </c>
    </row>
    <row r="11" spans="1:5" ht="15">
      <c r="A11" s="68">
        <v>1265</v>
      </c>
      <c r="B11" s="71" t="s">
        <v>380</v>
      </c>
      <c r="C11" s="72">
        <v>14000</v>
      </c>
      <c r="D11" s="72">
        <v>15145.79</v>
      </c>
      <c r="E11" s="72">
        <v>29145.79</v>
      </c>
    </row>
    <row r="12" spans="1:5" ht="15">
      <c r="A12" s="68">
        <v>1291</v>
      </c>
      <c r="B12" s="71" t="s">
        <v>157</v>
      </c>
      <c r="C12" s="72">
        <v>0</v>
      </c>
      <c r="D12" s="72">
        <v>-24068</v>
      </c>
      <c r="E12" s="72">
        <v>-24068</v>
      </c>
    </row>
    <row r="13" spans="1:5" ht="15">
      <c r="A13" s="68">
        <v>1500</v>
      </c>
      <c r="B13" s="71" t="s">
        <v>381</v>
      </c>
      <c r="C13" s="72">
        <v>879339</v>
      </c>
      <c r="D13" s="72">
        <v>-454096</v>
      </c>
      <c r="E13" s="72">
        <v>425243</v>
      </c>
    </row>
    <row r="14" spans="1:5" ht="15">
      <c r="A14" s="68">
        <v>1511</v>
      </c>
      <c r="B14" s="71" t="s">
        <v>382</v>
      </c>
      <c r="C14" s="72">
        <v>-835319</v>
      </c>
      <c r="D14" s="72">
        <v>835319</v>
      </c>
      <c r="E14" s="72">
        <v>0</v>
      </c>
    </row>
    <row r="15" spans="1:5" ht="15">
      <c r="A15" s="68">
        <v>1512</v>
      </c>
      <c r="B15" s="71" t="s">
        <v>383</v>
      </c>
      <c r="C15" s="72">
        <v>835319</v>
      </c>
      <c r="D15" s="72">
        <v>-835319</v>
      </c>
      <c r="E15" s="72">
        <v>0</v>
      </c>
    </row>
    <row r="16" spans="1:5" ht="15">
      <c r="A16" s="68">
        <v>1550</v>
      </c>
      <c r="B16" s="71" t="s">
        <v>384</v>
      </c>
      <c r="C16" s="72">
        <v>500000</v>
      </c>
      <c r="D16" s="72">
        <v>-500000</v>
      </c>
      <c r="E16" s="72">
        <v>0</v>
      </c>
    </row>
    <row r="17" spans="1:5" ht="15">
      <c r="A17" s="68">
        <v>1561</v>
      </c>
      <c r="B17" s="71" t="s">
        <v>385</v>
      </c>
      <c r="C17" s="72">
        <v>221530</v>
      </c>
      <c r="D17" s="72">
        <v>-221530</v>
      </c>
      <c r="E17" s="72">
        <v>0</v>
      </c>
    </row>
    <row r="18" spans="1:5" ht="15">
      <c r="A18" s="68">
        <v>1562</v>
      </c>
      <c r="B18" s="71" t="s">
        <v>386</v>
      </c>
      <c r="C18" s="72">
        <v>524280</v>
      </c>
      <c r="D18" s="72">
        <v>-524280</v>
      </c>
      <c r="E18" s="72">
        <v>0</v>
      </c>
    </row>
    <row r="19" spans="1:5" ht="15">
      <c r="A19" s="68">
        <v>1740</v>
      </c>
      <c r="B19" s="71" t="s">
        <v>387</v>
      </c>
      <c r="C19" s="72">
        <v>0</v>
      </c>
      <c r="D19" s="72">
        <v>113909.92</v>
      </c>
      <c r="E19" s="72">
        <v>113909.92</v>
      </c>
    </row>
    <row r="20" spans="1:5" ht="15">
      <c r="A20" s="68">
        <v>1745</v>
      </c>
      <c r="B20" s="71" t="s">
        <v>388</v>
      </c>
      <c r="C20" s="72">
        <v>183.74</v>
      </c>
      <c r="D20" s="72">
        <v>1696.39</v>
      </c>
      <c r="E20" s="72">
        <v>1880.13</v>
      </c>
    </row>
    <row r="21" spans="1:5" ht="15">
      <c r="A21" s="68">
        <v>1750</v>
      </c>
      <c r="B21" s="71" t="s">
        <v>389</v>
      </c>
      <c r="C21" s="72">
        <v>0</v>
      </c>
      <c r="D21" s="72">
        <v>5818.88</v>
      </c>
      <c r="E21" s="72">
        <v>5818.88</v>
      </c>
    </row>
    <row r="22" spans="1:5" ht="15">
      <c r="A22" s="68">
        <v>1900</v>
      </c>
      <c r="B22" s="71" t="s">
        <v>390</v>
      </c>
      <c r="C22" s="72">
        <v>0</v>
      </c>
      <c r="D22" s="72">
        <v>17679</v>
      </c>
      <c r="E22" s="72">
        <v>17679</v>
      </c>
    </row>
    <row r="23" spans="1:5" ht="15">
      <c r="A23" s="68">
        <v>1925</v>
      </c>
      <c r="B23" s="71" t="s">
        <v>391</v>
      </c>
      <c r="C23" s="72">
        <v>693274.85</v>
      </c>
      <c r="D23" s="72">
        <v>-405110.29</v>
      </c>
      <c r="E23" s="72">
        <v>288164.56</v>
      </c>
    </row>
    <row r="24" spans="1:5" ht="15">
      <c r="A24" s="68">
        <v>1955</v>
      </c>
      <c r="B24" s="71" t="s">
        <v>392</v>
      </c>
      <c r="C24" s="72">
        <v>27045</v>
      </c>
      <c r="D24" s="72">
        <v>52642</v>
      </c>
      <c r="E24" s="72">
        <v>79687</v>
      </c>
    </row>
    <row r="25" spans="1:5" ht="15">
      <c r="A25" s="68">
        <v>2000</v>
      </c>
      <c r="B25" s="71" t="s">
        <v>393</v>
      </c>
      <c r="C25" s="72">
        <v>-32500</v>
      </c>
      <c r="D25" s="72">
        <v>0</v>
      </c>
      <c r="E25" s="72">
        <v>-32500</v>
      </c>
    </row>
    <row r="26" spans="1:5" ht="15">
      <c r="A26" s="68">
        <v>2030</v>
      </c>
      <c r="B26" s="71" t="s">
        <v>394</v>
      </c>
      <c r="C26" s="72">
        <v>-737000</v>
      </c>
      <c r="D26" s="72">
        <v>0</v>
      </c>
      <c r="E26" s="72">
        <v>-737000</v>
      </c>
    </row>
    <row r="27" spans="1:5" ht="15">
      <c r="A27" s="68">
        <v>2050</v>
      </c>
      <c r="B27" s="71" t="s">
        <v>395</v>
      </c>
      <c r="C27" s="72">
        <v>-1724279.29</v>
      </c>
      <c r="D27" s="72">
        <v>0</v>
      </c>
      <c r="E27" s="72">
        <v>-1724279.29</v>
      </c>
    </row>
    <row r="28" spans="1:5" ht="15">
      <c r="A28" s="68">
        <v>2410</v>
      </c>
      <c r="B28" s="71" t="s">
        <v>396</v>
      </c>
      <c r="C28" s="72">
        <v>-563222.59</v>
      </c>
      <c r="D28" s="72">
        <v>214446.18</v>
      </c>
      <c r="E28" s="72">
        <v>-348776.41</v>
      </c>
    </row>
    <row r="29" spans="1:5" ht="15">
      <c r="A29" s="68">
        <v>2460</v>
      </c>
      <c r="B29" s="71" t="s">
        <v>397</v>
      </c>
      <c r="C29" s="72">
        <v>35787.5</v>
      </c>
      <c r="D29" s="72">
        <v>-35787.5</v>
      </c>
      <c r="E29" s="72">
        <v>0</v>
      </c>
    </row>
    <row r="30" spans="1:5" ht="15">
      <c r="A30" s="68">
        <v>2461</v>
      </c>
      <c r="B30" s="71" t="s">
        <v>398</v>
      </c>
      <c r="C30" s="72">
        <v>-35787.5</v>
      </c>
      <c r="D30" s="72">
        <v>35787.5</v>
      </c>
      <c r="E30" s="72">
        <v>0</v>
      </c>
    </row>
    <row r="31" spans="1:5" ht="15">
      <c r="A31" s="68">
        <v>2610</v>
      </c>
      <c r="B31" s="71" t="s">
        <v>399</v>
      </c>
      <c r="C31" s="72">
        <v>-27045</v>
      </c>
      <c r="D31" s="72">
        <v>-30414</v>
      </c>
      <c r="E31" s="72">
        <v>-57459</v>
      </c>
    </row>
    <row r="32" spans="1:5" ht="15">
      <c r="A32" s="68">
        <v>2630</v>
      </c>
      <c r="B32" s="71" t="s">
        <v>400</v>
      </c>
      <c r="C32" s="72">
        <v>0</v>
      </c>
      <c r="D32" s="72">
        <v>0</v>
      </c>
      <c r="E32" s="72">
        <v>0</v>
      </c>
    </row>
    <row r="33" spans="1:5" ht="15">
      <c r="A33" s="68">
        <v>2650</v>
      </c>
      <c r="B33" s="71" t="s">
        <v>401</v>
      </c>
      <c r="C33" s="72">
        <v>0</v>
      </c>
      <c r="D33" s="72">
        <v>0</v>
      </c>
      <c r="E33" s="72">
        <v>0</v>
      </c>
    </row>
    <row r="34" spans="1:5" ht="15">
      <c r="A34" s="68">
        <v>2660</v>
      </c>
      <c r="B34" s="71" t="s">
        <v>402</v>
      </c>
      <c r="C34" s="72">
        <v>0</v>
      </c>
      <c r="D34" s="72">
        <v>0</v>
      </c>
      <c r="E34" s="72">
        <v>0</v>
      </c>
    </row>
    <row r="35" spans="1:5" ht="15">
      <c r="A35" s="68">
        <v>2670</v>
      </c>
      <c r="B35" s="71" t="s">
        <v>403</v>
      </c>
      <c r="C35" s="72">
        <v>0</v>
      </c>
      <c r="D35" s="72">
        <v>0</v>
      </c>
      <c r="E35" s="72">
        <v>0</v>
      </c>
    </row>
    <row r="36" spans="1:5" ht="15">
      <c r="A36" s="68">
        <v>2680</v>
      </c>
      <c r="B36" s="71" t="s">
        <v>404</v>
      </c>
      <c r="C36" s="72">
        <v>0</v>
      </c>
      <c r="D36" s="72">
        <v>-1270</v>
      </c>
      <c r="E36" s="72">
        <v>-1270</v>
      </c>
    </row>
    <row r="37" spans="1:5" ht="15">
      <c r="A37" s="68">
        <v>2700</v>
      </c>
      <c r="B37" s="71" t="s">
        <v>405</v>
      </c>
      <c r="C37" s="72">
        <v>0</v>
      </c>
      <c r="D37" s="72">
        <v>0</v>
      </c>
      <c r="E37" s="72">
        <v>0</v>
      </c>
    </row>
    <row r="38" spans="1:5" ht="15">
      <c r="A38" s="68">
        <v>2701</v>
      </c>
      <c r="B38" s="71" t="s">
        <v>406</v>
      </c>
      <c r="C38" s="72">
        <v>0</v>
      </c>
      <c r="D38" s="72">
        <v>0</v>
      </c>
      <c r="E38" s="72">
        <v>0</v>
      </c>
    </row>
    <row r="39" spans="1:5" ht="15">
      <c r="A39" s="68">
        <v>2710</v>
      </c>
      <c r="B39" s="71" t="s">
        <v>407</v>
      </c>
      <c r="C39" s="72">
        <v>4625</v>
      </c>
      <c r="D39" s="72">
        <v>-4625</v>
      </c>
      <c r="E39" s="72">
        <v>0</v>
      </c>
    </row>
    <row r="40" spans="1:5" ht="15">
      <c r="A40" s="68">
        <v>2711</v>
      </c>
      <c r="B40" s="71" t="s">
        <v>408</v>
      </c>
      <c r="C40" s="72">
        <v>0</v>
      </c>
      <c r="D40" s="72">
        <v>0</v>
      </c>
      <c r="E40" s="72">
        <v>0</v>
      </c>
    </row>
    <row r="41" spans="1:5" ht="15">
      <c r="A41" s="68">
        <v>2713</v>
      </c>
      <c r="B41" s="71" t="s">
        <v>409</v>
      </c>
      <c r="C41" s="72">
        <v>0</v>
      </c>
      <c r="D41" s="72">
        <v>0</v>
      </c>
      <c r="E41" s="72">
        <v>0</v>
      </c>
    </row>
    <row r="42" spans="1:5" ht="15">
      <c r="A42" s="68">
        <v>2740</v>
      </c>
      <c r="B42" s="71" t="s">
        <v>410</v>
      </c>
      <c r="C42" s="72">
        <v>0</v>
      </c>
      <c r="D42" s="72">
        <v>-115297</v>
      </c>
      <c r="E42" s="72">
        <v>-115297</v>
      </c>
    </row>
    <row r="43" spans="1:5" ht="15">
      <c r="A43" s="68">
        <v>2750</v>
      </c>
      <c r="B43" s="71" t="s">
        <v>411</v>
      </c>
      <c r="C43" s="72">
        <v>58864</v>
      </c>
      <c r="D43" s="72">
        <v>-58864</v>
      </c>
      <c r="E43" s="72">
        <v>0</v>
      </c>
    </row>
    <row r="44" spans="1:5" ht="15">
      <c r="A44" s="68">
        <v>2780</v>
      </c>
      <c r="B44" s="71" t="s">
        <v>412</v>
      </c>
      <c r="C44" s="72">
        <v>-17747.67</v>
      </c>
      <c r="D44" s="72">
        <v>-23557.77</v>
      </c>
      <c r="E44" s="72">
        <v>-41305.44</v>
      </c>
    </row>
    <row r="45" spans="1:5" ht="15">
      <c r="A45" s="68">
        <v>2781</v>
      </c>
      <c r="B45" s="71" t="s">
        <v>413</v>
      </c>
      <c r="C45" s="72">
        <v>-3809.87</v>
      </c>
      <c r="D45" s="72">
        <v>-16729.07</v>
      </c>
      <c r="E45" s="72">
        <v>-20538.94</v>
      </c>
    </row>
    <row r="46" spans="1:5" ht="15">
      <c r="A46" s="68">
        <v>2801</v>
      </c>
      <c r="B46" s="71" t="s">
        <v>414</v>
      </c>
      <c r="C46" s="72">
        <v>-500000</v>
      </c>
      <c r="D46" s="72">
        <v>500000</v>
      </c>
      <c r="E46" s="72">
        <v>0</v>
      </c>
    </row>
    <row r="47" spans="1:5" ht="15">
      <c r="A47" s="68">
        <v>2910</v>
      </c>
      <c r="B47" s="71" t="s">
        <v>415</v>
      </c>
      <c r="C47" s="72">
        <v>0</v>
      </c>
      <c r="D47" s="72">
        <v>0</v>
      </c>
      <c r="E47" s="72">
        <v>0</v>
      </c>
    </row>
    <row r="48" spans="1:5" ht="15">
      <c r="A48" s="68">
        <v>2911</v>
      </c>
      <c r="B48" s="71" t="s">
        <v>416</v>
      </c>
      <c r="C48" s="72">
        <v>-57851.44</v>
      </c>
      <c r="D48" s="72">
        <v>-83437.9</v>
      </c>
      <c r="E48" s="72">
        <v>-141289.34</v>
      </c>
    </row>
    <row r="49" spans="1:5" ht="15">
      <c r="A49" s="68">
        <v>2920</v>
      </c>
      <c r="B49" s="71" t="s">
        <v>417</v>
      </c>
      <c r="C49" s="72">
        <v>-27020.4</v>
      </c>
      <c r="D49" s="72">
        <v>-118646.03</v>
      </c>
      <c r="E49" s="72">
        <v>-145666.43</v>
      </c>
    </row>
    <row r="50" spans="1:5" ht="15">
      <c r="A50" s="68">
        <v>2922</v>
      </c>
      <c r="B50" s="71" t="s">
        <v>418</v>
      </c>
      <c r="C50" s="72">
        <v>262326.34</v>
      </c>
      <c r="D50" s="72">
        <v>-262326.34</v>
      </c>
      <c r="E50" s="72">
        <v>0</v>
      </c>
    </row>
    <row r="51" spans="1:5" ht="15">
      <c r="A51" s="68">
        <v>2990</v>
      </c>
      <c r="B51" s="71" t="s">
        <v>419</v>
      </c>
      <c r="C51" s="72">
        <v>-55853.17</v>
      </c>
      <c r="D51" s="72">
        <v>47407.48</v>
      </c>
      <c r="E51" s="72">
        <v>-8445.69</v>
      </c>
    </row>
    <row r="52" spans="1:5" ht="15">
      <c r="A52" s="68">
        <v>2995</v>
      </c>
      <c r="B52" s="71" t="s">
        <v>420</v>
      </c>
      <c r="C52" s="72">
        <v>-3034.4</v>
      </c>
      <c r="D52" s="72">
        <v>-78800.17</v>
      </c>
      <c r="E52" s="72">
        <v>-81834.57</v>
      </c>
    </row>
    <row r="53" spans="1:5" ht="15">
      <c r="A53" s="68">
        <v>3001</v>
      </c>
      <c r="B53" s="71" t="s">
        <v>229</v>
      </c>
      <c r="C53" s="72">
        <v>0</v>
      </c>
      <c r="D53" s="72">
        <v>-55638</v>
      </c>
      <c r="E53" s="72">
        <v>-55638</v>
      </c>
    </row>
    <row r="54" spans="1:5" ht="15">
      <c r="A54" s="68">
        <v>3003</v>
      </c>
      <c r="B54" s="71" t="s">
        <v>361</v>
      </c>
      <c r="C54" s="72">
        <v>0</v>
      </c>
      <c r="D54" s="72">
        <v>-20028</v>
      </c>
      <c r="E54" s="72">
        <v>-20028</v>
      </c>
    </row>
    <row r="55" spans="1:5" ht="15">
      <c r="A55" s="68">
        <v>3005</v>
      </c>
      <c r="B55" s="71" t="s">
        <v>179</v>
      </c>
      <c r="C55" s="72">
        <v>0</v>
      </c>
      <c r="D55" s="72">
        <v>-3970600.96</v>
      </c>
      <c r="E55" s="72">
        <v>-3970600.96</v>
      </c>
    </row>
    <row r="56" spans="1:5" ht="15">
      <c r="A56" s="68">
        <v>3006</v>
      </c>
      <c r="B56" s="71" t="s">
        <v>139</v>
      </c>
      <c r="C56" s="72">
        <v>0</v>
      </c>
      <c r="D56" s="72">
        <v>-205350</v>
      </c>
      <c r="E56" s="72">
        <v>-205350</v>
      </c>
    </row>
    <row r="57" spans="1:5" ht="15">
      <c r="A57" s="68">
        <v>3007</v>
      </c>
      <c r="B57" s="71" t="s">
        <v>209</v>
      </c>
      <c r="C57" s="72">
        <v>0</v>
      </c>
      <c r="D57" s="72">
        <v>-206840.71</v>
      </c>
      <c r="E57" s="72">
        <v>-206840.71</v>
      </c>
    </row>
    <row r="58" spans="1:5" ht="15">
      <c r="A58" s="68">
        <v>3008</v>
      </c>
      <c r="B58" s="71" t="s">
        <v>295</v>
      </c>
      <c r="C58" s="72">
        <v>0</v>
      </c>
      <c r="D58" s="72">
        <v>-425256</v>
      </c>
      <c r="E58" s="72">
        <v>-425256</v>
      </c>
    </row>
    <row r="59" spans="1:5" ht="15">
      <c r="A59" s="68">
        <v>3009</v>
      </c>
      <c r="B59" s="71" t="s">
        <v>88</v>
      </c>
      <c r="C59" s="72">
        <v>0</v>
      </c>
      <c r="D59" s="72">
        <v>-2300</v>
      </c>
      <c r="E59" s="72">
        <v>-2300</v>
      </c>
    </row>
    <row r="60" spans="1:5" ht="15">
      <c r="A60" s="68">
        <v>3010</v>
      </c>
      <c r="B60" s="71" t="s">
        <v>89</v>
      </c>
      <c r="C60" s="72">
        <v>0</v>
      </c>
      <c r="D60" s="72">
        <v>0</v>
      </c>
      <c r="E60" s="72">
        <v>0</v>
      </c>
    </row>
    <row r="61" spans="1:5" ht="15">
      <c r="A61" s="68">
        <v>3100</v>
      </c>
      <c r="B61" s="71" t="s">
        <v>230</v>
      </c>
      <c r="C61" s="72">
        <v>0</v>
      </c>
      <c r="D61" s="72">
        <v>-151910</v>
      </c>
      <c r="E61" s="72">
        <v>-151910</v>
      </c>
    </row>
    <row r="62" spans="1:5" ht="15">
      <c r="A62" s="68">
        <v>3450</v>
      </c>
      <c r="B62" s="71" t="s">
        <v>59</v>
      </c>
      <c r="C62" s="72">
        <v>0</v>
      </c>
      <c r="D62" s="72">
        <v>-35000</v>
      </c>
      <c r="E62" s="72">
        <v>-35000</v>
      </c>
    </row>
    <row r="63" spans="1:5" ht="15">
      <c r="A63" s="68">
        <v>3600</v>
      </c>
      <c r="B63" s="71" t="s">
        <v>180</v>
      </c>
      <c r="C63" s="72">
        <v>0</v>
      </c>
      <c r="D63" s="72">
        <v>-71224</v>
      </c>
      <c r="E63" s="72">
        <v>-71224</v>
      </c>
    </row>
    <row r="64" spans="1:5" ht="15">
      <c r="A64" s="68">
        <v>4004</v>
      </c>
      <c r="B64" s="71" t="s">
        <v>116</v>
      </c>
      <c r="C64" s="72">
        <v>0</v>
      </c>
      <c r="D64" s="72">
        <v>2649.99</v>
      </c>
      <c r="E64" s="72">
        <v>2649.99</v>
      </c>
    </row>
    <row r="65" spans="1:5" ht="15">
      <c r="A65" s="68">
        <v>4005</v>
      </c>
      <c r="B65" s="71" t="s">
        <v>274</v>
      </c>
      <c r="C65" s="72">
        <v>0</v>
      </c>
      <c r="D65" s="72">
        <v>105965.55</v>
      </c>
      <c r="E65" s="72">
        <v>105965.55</v>
      </c>
    </row>
    <row r="66" spans="1:5" ht="15">
      <c r="A66" s="68">
        <v>4006</v>
      </c>
      <c r="B66" s="71" t="s">
        <v>90</v>
      </c>
      <c r="C66" s="72">
        <v>0</v>
      </c>
      <c r="D66" s="72">
        <v>42500.41</v>
      </c>
      <c r="E66" s="72">
        <v>42500.41</v>
      </c>
    </row>
    <row r="67" spans="1:5" ht="15">
      <c r="A67" s="68">
        <v>4007</v>
      </c>
      <c r="B67" s="71" t="s">
        <v>296</v>
      </c>
      <c r="C67" s="72">
        <v>0</v>
      </c>
      <c r="D67" s="72">
        <v>338569.37</v>
      </c>
      <c r="E67" s="72">
        <v>338569.37</v>
      </c>
    </row>
    <row r="68" spans="1:5" ht="15">
      <c r="A68" s="68">
        <v>4008</v>
      </c>
      <c r="B68" s="71" t="s">
        <v>153</v>
      </c>
      <c r="C68" s="72">
        <v>0</v>
      </c>
      <c r="D68" s="72">
        <v>206161.34</v>
      </c>
      <c r="E68" s="72">
        <v>206161.34</v>
      </c>
    </row>
    <row r="69" spans="1:5" ht="15">
      <c r="A69" s="68">
        <v>4009</v>
      </c>
      <c r="B69" s="71" t="s">
        <v>154</v>
      </c>
      <c r="C69" s="72">
        <v>0</v>
      </c>
      <c r="D69" s="72">
        <v>74828.63</v>
      </c>
      <c r="E69" s="72">
        <v>74828.63</v>
      </c>
    </row>
    <row r="70" spans="1:5" ht="15">
      <c r="A70" s="68">
        <v>4014</v>
      </c>
      <c r="B70" s="71" t="s">
        <v>60</v>
      </c>
      <c r="C70" s="72">
        <v>0</v>
      </c>
      <c r="D70" s="72">
        <v>0</v>
      </c>
      <c r="E70" s="72">
        <v>0</v>
      </c>
    </row>
    <row r="71" spans="1:5" ht="15">
      <c r="A71" s="68">
        <v>4015</v>
      </c>
      <c r="B71" s="71" t="s">
        <v>117</v>
      </c>
      <c r="C71" s="72">
        <v>0</v>
      </c>
      <c r="D71" s="72">
        <v>559645.52</v>
      </c>
      <c r="E71" s="72">
        <v>559645.52</v>
      </c>
    </row>
    <row r="72" spans="1:5" ht="15">
      <c r="A72" s="68">
        <v>4016</v>
      </c>
      <c r="B72" s="71" t="s">
        <v>181</v>
      </c>
      <c r="C72" s="72">
        <v>0</v>
      </c>
      <c r="D72" s="72">
        <v>0</v>
      </c>
      <c r="E72" s="72">
        <v>0</v>
      </c>
    </row>
    <row r="73" spans="1:5" ht="15">
      <c r="A73" s="68">
        <v>4017</v>
      </c>
      <c r="B73" s="71" t="s">
        <v>36</v>
      </c>
      <c r="C73" s="72">
        <v>0</v>
      </c>
      <c r="D73" s="72">
        <v>0</v>
      </c>
      <c r="E73" s="72">
        <v>0</v>
      </c>
    </row>
    <row r="74" spans="1:5" ht="15">
      <c r="A74" s="68">
        <v>4020</v>
      </c>
      <c r="B74" s="71" t="s">
        <v>297</v>
      </c>
      <c r="C74" s="72">
        <v>0</v>
      </c>
      <c r="D74" s="72">
        <v>922886.99</v>
      </c>
      <c r="E74" s="72">
        <v>922886.99</v>
      </c>
    </row>
    <row r="75" spans="1:5" ht="15">
      <c r="A75" s="68">
        <v>4025</v>
      </c>
      <c r="B75" s="71" t="s">
        <v>324</v>
      </c>
      <c r="C75" s="72">
        <v>0</v>
      </c>
      <c r="D75" s="72">
        <v>0</v>
      </c>
      <c r="E75" s="72">
        <v>0</v>
      </c>
    </row>
    <row r="76" spans="1:5" ht="15">
      <c r="A76" s="68">
        <v>5010</v>
      </c>
      <c r="B76" s="71" t="s">
        <v>298</v>
      </c>
      <c r="C76" s="72">
        <v>0</v>
      </c>
      <c r="D76" s="72">
        <v>1213886.96</v>
      </c>
      <c r="E76" s="72">
        <v>1213886.96</v>
      </c>
    </row>
    <row r="77" spans="1:5" ht="15">
      <c r="A77" s="68">
        <v>5090</v>
      </c>
      <c r="B77" s="71" t="s">
        <v>118</v>
      </c>
      <c r="C77" s="72">
        <v>0</v>
      </c>
      <c r="D77" s="72">
        <v>83437.9</v>
      </c>
      <c r="E77" s="72">
        <v>83437.9</v>
      </c>
    </row>
    <row r="78" spans="1:5" ht="15">
      <c r="A78" s="68">
        <v>5180</v>
      </c>
      <c r="B78" s="71" t="s">
        <v>37</v>
      </c>
      <c r="C78" s="72">
        <v>0</v>
      </c>
      <c r="D78" s="72">
        <v>145666.43</v>
      </c>
      <c r="E78" s="72">
        <v>145666.43</v>
      </c>
    </row>
    <row r="79" spans="1:5" ht="15">
      <c r="A79" s="68">
        <v>5182</v>
      </c>
      <c r="B79" s="71" t="s">
        <v>61</v>
      </c>
      <c r="C79" s="72">
        <v>0</v>
      </c>
      <c r="D79" s="72">
        <v>20538.95</v>
      </c>
      <c r="E79" s="72">
        <v>20538.95</v>
      </c>
    </row>
    <row r="80" spans="1:5" ht="15">
      <c r="A80" s="68">
        <v>5280</v>
      </c>
      <c r="B80" s="71" t="s">
        <v>421</v>
      </c>
      <c r="C80" s="72">
        <v>0</v>
      </c>
      <c r="D80" s="72">
        <v>24293.91</v>
      </c>
      <c r="E80" s="72">
        <v>24293.91</v>
      </c>
    </row>
    <row r="81" spans="1:5" ht="15">
      <c r="A81" s="68">
        <v>5291</v>
      </c>
      <c r="B81" s="71" t="s">
        <v>422</v>
      </c>
      <c r="C81" s="72">
        <v>0</v>
      </c>
      <c r="D81" s="72">
        <v>-24293.91</v>
      </c>
      <c r="E81" s="72">
        <v>-24293.91</v>
      </c>
    </row>
    <row r="82" spans="1:5" ht="15">
      <c r="A82" s="68">
        <v>5400</v>
      </c>
      <c r="B82" s="71" t="s">
        <v>210</v>
      </c>
      <c r="C82" s="72">
        <v>0</v>
      </c>
      <c r="D82" s="72">
        <v>174583.52</v>
      </c>
      <c r="E82" s="72">
        <v>174583.52</v>
      </c>
    </row>
    <row r="83" spans="1:5" ht="15">
      <c r="A83" s="68">
        <v>5510</v>
      </c>
      <c r="B83" s="71" t="s">
        <v>182</v>
      </c>
      <c r="C83" s="72">
        <v>0</v>
      </c>
      <c r="D83" s="72">
        <v>317.2</v>
      </c>
      <c r="E83" s="72">
        <v>317.2</v>
      </c>
    </row>
    <row r="84" spans="1:5" ht="15">
      <c r="A84" s="68">
        <v>5945</v>
      </c>
      <c r="B84" s="71" t="s">
        <v>155</v>
      </c>
      <c r="C84" s="72">
        <v>0</v>
      </c>
      <c r="D84" s="72">
        <v>24293.91</v>
      </c>
      <c r="E84" s="72">
        <v>24293.91</v>
      </c>
    </row>
    <row r="85" spans="1:5" ht="15">
      <c r="A85" s="68">
        <v>5990</v>
      </c>
      <c r="B85" s="71" t="s">
        <v>338</v>
      </c>
      <c r="C85" s="72">
        <v>0</v>
      </c>
      <c r="D85" s="72">
        <v>-143</v>
      </c>
      <c r="E85" s="72">
        <v>-143</v>
      </c>
    </row>
    <row r="86" spans="1:5" ht="15">
      <c r="A86" s="68">
        <v>5991</v>
      </c>
      <c r="B86" s="71" t="s">
        <v>275</v>
      </c>
      <c r="C86" s="72">
        <v>0</v>
      </c>
      <c r="D86" s="72">
        <v>4100.88</v>
      </c>
      <c r="E86" s="72">
        <v>4100.88</v>
      </c>
    </row>
    <row r="87" spans="1:5" ht="15">
      <c r="A87" s="68">
        <v>6015</v>
      </c>
      <c r="B87" s="71" t="s">
        <v>157</v>
      </c>
      <c r="C87" s="72">
        <v>0</v>
      </c>
      <c r="D87" s="72">
        <v>24068</v>
      </c>
      <c r="E87" s="72">
        <v>24068</v>
      </c>
    </row>
    <row r="88" spans="1:5" ht="15">
      <c r="A88" s="68">
        <v>6300</v>
      </c>
      <c r="B88" s="71" t="s">
        <v>339</v>
      </c>
      <c r="C88" s="72">
        <v>0</v>
      </c>
      <c r="D88" s="72">
        <v>396000</v>
      </c>
      <c r="E88" s="72">
        <v>396000</v>
      </c>
    </row>
    <row r="89" spans="1:5" ht="15">
      <c r="A89" s="68">
        <v>6320</v>
      </c>
      <c r="B89" s="71" t="s">
        <v>62</v>
      </c>
      <c r="C89" s="72">
        <v>0</v>
      </c>
      <c r="D89" s="72">
        <v>36103.05</v>
      </c>
      <c r="E89" s="72">
        <v>36103.05</v>
      </c>
    </row>
    <row r="90" spans="1:5" ht="15">
      <c r="A90" s="68">
        <v>6340</v>
      </c>
      <c r="B90" s="71" t="s">
        <v>362</v>
      </c>
      <c r="C90" s="72">
        <v>0</v>
      </c>
      <c r="D90" s="72">
        <v>255464.77</v>
      </c>
      <c r="E90" s="72">
        <v>255464.77</v>
      </c>
    </row>
    <row r="91" spans="1:5" ht="15">
      <c r="A91" s="68">
        <v>6360</v>
      </c>
      <c r="B91" s="71" t="s">
        <v>299</v>
      </c>
      <c r="C91" s="72">
        <v>0</v>
      </c>
      <c r="D91" s="72">
        <v>23473.59</v>
      </c>
      <c r="E91" s="72">
        <v>23473.59</v>
      </c>
    </row>
    <row r="92" spans="1:5" ht="15">
      <c r="A92" s="68">
        <v>6390</v>
      </c>
      <c r="B92" s="71" t="s">
        <v>363</v>
      </c>
      <c r="C92" s="72">
        <v>0</v>
      </c>
      <c r="D92" s="72">
        <v>17327.2</v>
      </c>
      <c r="E92" s="72">
        <v>17327.2</v>
      </c>
    </row>
    <row r="93" spans="1:5" ht="15">
      <c r="A93" s="68">
        <v>6510</v>
      </c>
      <c r="B93" s="71" t="s">
        <v>91</v>
      </c>
      <c r="C93" s="72">
        <v>0</v>
      </c>
      <c r="D93" s="72">
        <v>615.2</v>
      </c>
      <c r="E93" s="72">
        <v>615.2</v>
      </c>
    </row>
    <row r="94" spans="1:5" ht="15">
      <c r="A94" s="68">
        <v>6540</v>
      </c>
      <c r="B94" s="71" t="s">
        <v>119</v>
      </c>
      <c r="C94" s="72">
        <v>0</v>
      </c>
      <c r="D94" s="72">
        <v>135215.94</v>
      </c>
      <c r="E94" s="72">
        <v>135215.94</v>
      </c>
    </row>
    <row r="95" spans="1:5" ht="15">
      <c r="A95" s="68">
        <v>6550</v>
      </c>
      <c r="B95" s="71" t="s">
        <v>231</v>
      </c>
      <c r="C95" s="72">
        <v>0</v>
      </c>
      <c r="D95" s="72">
        <v>28056.53</v>
      </c>
      <c r="E95" s="72">
        <v>28056.53</v>
      </c>
    </row>
    <row r="96" spans="1:5" ht="15">
      <c r="A96" s="68">
        <v>6551</v>
      </c>
      <c r="B96" s="71" t="s">
        <v>63</v>
      </c>
      <c r="C96" s="72">
        <v>0</v>
      </c>
      <c r="D96" s="72">
        <v>68138.39</v>
      </c>
      <c r="E96" s="72">
        <v>68138.39</v>
      </c>
    </row>
    <row r="97" spans="1:5" ht="15">
      <c r="A97" s="68">
        <v>6552</v>
      </c>
      <c r="B97" s="71" t="s">
        <v>64</v>
      </c>
      <c r="C97" s="72">
        <v>0</v>
      </c>
      <c r="D97" s="72">
        <v>53123.43</v>
      </c>
      <c r="E97" s="72">
        <v>53123.43</v>
      </c>
    </row>
    <row r="98" spans="1:5" ht="15">
      <c r="A98" s="68">
        <v>6570</v>
      </c>
      <c r="B98" s="71" t="s">
        <v>340</v>
      </c>
      <c r="C98" s="72">
        <v>0</v>
      </c>
      <c r="D98" s="72">
        <v>16555.36</v>
      </c>
      <c r="E98" s="72">
        <v>16555.36</v>
      </c>
    </row>
    <row r="99" spans="1:5" ht="15">
      <c r="A99" s="68">
        <v>6620</v>
      </c>
      <c r="B99" s="71" t="s">
        <v>38</v>
      </c>
      <c r="C99" s="72">
        <v>0</v>
      </c>
      <c r="D99" s="72">
        <v>6991.52</v>
      </c>
      <c r="E99" s="72">
        <v>6991.52</v>
      </c>
    </row>
    <row r="100" spans="1:5" ht="15">
      <c r="A100" s="68">
        <v>6630</v>
      </c>
      <c r="B100" s="71" t="s">
        <v>140</v>
      </c>
      <c r="C100" s="72">
        <v>0</v>
      </c>
      <c r="D100" s="72">
        <v>31166.56</v>
      </c>
      <c r="E100" s="72">
        <v>31166.56</v>
      </c>
    </row>
    <row r="101" spans="1:5" ht="15">
      <c r="A101" s="68">
        <v>6700</v>
      </c>
      <c r="B101" s="71" t="s">
        <v>39</v>
      </c>
      <c r="C101" s="72">
        <v>0</v>
      </c>
      <c r="D101" s="72">
        <v>53380</v>
      </c>
      <c r="E101" s="72">
        <v>53380</v>
      </c>
    </row>
    <row r="102" spans="1:5" ht="15">
      <c r="A102" s="68">
        <v>6701</v>
      </c>
      <c r="B102" s="71" t="s">
        <v>156</v>
      </c>
      <c r="C102" s="72">
        <v>0</v>
      </c>
      <c r="D102" s="72">
        <v>5000</v>
      </c>
      <c r="E102" s="72">
        <v>5000</v>
      </c>
    </row>
    <row r="103" spans="1:5" ht="15">
      <c r="A103" s="68">
        <v>6710</v>
      </c>
      <c r="B103" s="71" t="s">
        <v>120</v>
      </c>
      <c r="C103" s="72">
        <v>0</v>
      </c>
      <c r="D103" s="72">
        <v>519553.5</v>
      </c>
      <c r="E103" s="72">
        <v>519553.5</v>
      </c>
    </row>
    <row r="104" spans="1:5" ht="15">
      <c r="A104" s="68">
        <v>6720</v>
      </c>
      <c r="B104" s="71" t="s">
        <v>232</v>
      </c>
      <c r="C104" s="72">
        <v>0</v>
      </c>
      <c r="D104" s="72">
        <v>530798.29</v>
      </c>
      <c r="E104" s="72">
        <v>530798.29</v>
      </c>
    </row>
    <row r="105" spans="1:5" ht="15">
      <c r="A105" s="68">
        <v>6750</v>
      </c>
      <c r="B105" s="71" t="s">
        <v>300</v>
      </c>
      <c r="C105" s="72">
        <v>0</v>
      </c>
      <c r="D105" s="72">
        <v>299153</v>
      </c>
      <c r="E105" s="72">
        <v>299153</v>
      </c>
    </row>
    <row r="106" spans="1:5" ht="15">
      <c r="A106" s="68">
        <v>6790</v>
      </c>
      <c r="B106" s="71" t="s">
        <v>254</v>
      </c>
      <c r="C106" s="72">
        <v>0</v>
      </c>
      <c r="D106" s="72">
        <v>81210.87</v>
      </c>
      <c r="E106" s="72">
        <v>81210.87</v>
      </c>
    </row>
    <row r="107" spans="1:5" ht="15">
      <c r="A107" s="68">
        <v>6810</v>
      </c>
      <c r="B107" s="71" t="s">
        <v>301</v>
      </c>
      <c r="C107" s="72">
        <v>0</v>
      </c>
      <c r="D107" s="72">
        <v>25154.6</v>
      </c>
      <c r="E107" s="72">
        <v>25154.6</v>
      </c>
    </row>
    <row r="108" spans="1:5" ht="15">
      <c r="A108" s="68">
        <v>6860</v>
      </c>
      <c r="B108" s="71" t="s">
        <v>364</v>
      </c>
      <c r="C108" s="72">
        <v>0</v>
      </c>
      <c r="D108" s="72">
        <v>3000</v>
      </c>
      <c r="E108" s="72">
        <v>3000</v>
      </c>
    </row>
    <row r="109" spans="1:5" ht="15">
      <c r="A109" s="68">
        <v>6890</v>
      </c>
      <c r="B109" s="71" t="s">
        <v>255</v>
      </c>
      <c r="C109" s="72">
        <v>0</v>
      </c>
      <c r="D109" s="72">
        <v>924.4</v>
      </c>
      <c r="E109" s="72">
        <v>924.4</v>
      </c>
    </row>
    <row r="110" spans="1:5" ht="15">
      <c r="A110" s="68">
        <v>7000</v>
      </c>
      <c r="B110" s="71" t="s">
        <v>365</v>
      </c>
      <c r="C110" s="72">
        <v>0</v>
      </c>
      <c r="D110" s="72">
        <v>1189.98</v>
      </c>
      <c r="E110" s="72">
        <v>1189.98</v>
      </c>
    </row>
    <row r="111" spans="1:5" ht="15">
      <c r="A111" s="68">
        <v>7040</v>
      </c>
      <c r="B111" s="71" t="s">
        <v>302</v>
      </c>
      <c r="C111" s="72">
        <v>0</v>
      </c>
      <c r="D111" s="72">
        <v>20864.51</v>
      </c>
      <c r="E111" s="72">
        <v>20864.51</v>
      </c>
    </row>
    <row r="112" spans="1:5" ht="15">
      <c r="A112" s="68">
        <v>7105</v>
      </c>
      <c r="B112" s="71" t="s">
        <v>256</v>
      </c>
      <c r="C112" s="72">
        <v>0</v>
      </c>
      <c r="D112" s="72">
        <v>-5.38</v>
      </c>
      <c r="E112" s="72">
        <v>-5.38</v>
      </c>
    </row>
    <row r="113" spans="1:5" ht="15">
      <c r="A113" s="68">
        <v>7140</v>
      </c>
      <c r="B113" s="71" t="s">
        <v>141</v>
      </c>
      <c r="C113" s="72">
        <v>0</v>
      </c>
      <c r="D113" s="72">
        <v>4189.45</v>
      </c>
      <c r="E113" s="72">
        <v>4189.45</v>
      </c>
    </row>
    <row r="114" spans="1:5" ht="15">
      <c r="A114" s="68">
        <v>7320</v>
      </c>
      <c r="B114" s="71" t="s">
        <v>366</v>
      </c>
      <c r="C114" s="72">
        <v>0</v>
      </c>
      <c r="D114" s="72">
        <v>38859.07</v>
      </c>
      <c r="E114" s="72">
        <v>38859.07</v>
      </c>
    </row>
    <row r="115" spans="1:5" ht="15">
      <c r="A115" s="68">
        <v>7360</v>
      </c>
      <c r="B115" s="71" t="s">
        <v>65</v>
      </c>
      <c r="C115" s="72">
        <v>0</v>
      </c>
      <c r="D115" s="72">
        <v>4877.36</v>
      </c>
      <c r="E115" s="72">
        <v>4877.36</v>
      </c>
    </row>
    <row r="116" spans="1:5" ht="15">
      <c r="A116" s="68">
        <v>7770</v>
      </c>
      <c r="B116" s="71" t="s">
        <v>40</v>
      </c>
      <c r="C116" s="72">
        <v>0</v>
      </c>
      <c r="D116" s="72">
        <v>31955.79</v>
      </c>
      <c r="E116" s="72">
        <v>31955.79</v>
      </c>
    </row>
    <row r="117" spans="1:5" ht="15">
      <c r="A117" s="68">
        <v>7790</v>
      </c>
      <c r="B117" s="71" t="s">
        <v>211</v>
      </c>
      <c r="C117" s="72">
        <v>0</v>
      </c>
      <c r="D117" s="72">
        <v>38751.38</v>
      </c>
      <c r="E117" s="72">
        <v>38751.38</v>
      </c>
    </row>
    <row r="118" spans="1:5" ht="15">
      <c r="A118" s="68">
        <v>8150</v>
      </c>
      <c r="B118" s="71" t="s">
        <v>341</v>
      </c>
      <c r="C118" s="72">
        <v>0</v>
      </c>
      <c r="D118" s="72">
        <v>446.01</v>
      </c>
      <c r="E118" s="72">
        <v>446.01</v>
      </c>
    </row>
    <row r="119" spans="1:5" ht="15">
      <c r="A119" s="68">
        <v>8160</v>
      </c>
      <c r="B119" s="71" t="s">
        <v>212</v>
      </c>
      <c r="C119" s="72">
        <v>0</v>
      </c>
      <c r="D119" s="72">
        <v>132.98</v>
      </c>
      <c r="E119" s="72">
        <v>132.98</v>
      </c>
    </row>
    <row r="120" spans="1:5" ht="15">
      <c r="A120" s="68">
        <v>0</v>
      </c>
      <c r="B120" s="71" t="s">
        <v>423</v>
      </c>
      <c r="C120" s="72">
        <v>0</v>
      </c>
      <c r="D120" s="72">
        <v>0</v>
      </c>
      <c r="E120" s="72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63"/>
  <sheetViews>
    <sheetView showGridLines="0" zoomScale="90" zoomScaleNormal="90" workbookViewId="0" topLeftCell="A1">
      <pane ySplit="14" topLeftCell="A15" activePane="bottomLeft" state="frozen"/>
      <selection pane="bottomLeft" activeCell="A1" sqref="A1"/>
    </sheetView>
  </sheetViews>
  <sheetFormatPr defaultColWidth="9.140625" defaultRowHeight="15" outlineLevelRow="1"/>
  <cols>
    <col min="1" max="1" width="3.7109375" style="0" customWidth="1"/>
    <col min="2" max="2" width="10.8515625" style="0" customWidth="1"/>
    <col min="3" max="3" width="37.28125" style="0" customWidth="1"/>
    <col min="4" max="9" width="20.7109375" style="0" customWidth="1"/>
    <col min="10" max="10" width="3.8515625" style="0" customWidth="1"/>
  </cols>
  <sheetData>
    <row r="1" s="29" customFormat="1" ht="15.6" customHeight="1"/>
    <row r="2" spans="2:7" s="38" customFormat="1" ht="21.6" customHeight="1">
      <c r="B2" s="52" t="e">
        <f ca="1">_XLL.ONESTOP.REPORTPLAYER.OSRFUNCTIONS.OSRGET("ThisCompany","Nm")</f>
        <v>#NAME?</v>
      </c>
      <c r="D2" s="19"/>
      <c r="F2" s="19"/>
      <c r="G2" s="19"/>
    </row>
    <row r="3" spans="2:10" s="38" customFormat="1" ht="30.6" customHeight="1">
      <c r="B3" s="57" t="s">
        <v>233</v>
      </c>
      <c r="C3"/>
      <c r="D3"/>
      <c r="E3"/>
      <c r="F3"/>
      <c r="G3"/>
      <c r="H3"/>
      <c r="I3"/>
      <c r="J3"/>
    </row>
    <row r="4" spans="2:9" s="38" customFormat="1" ht="15.6" customHeight="1">
      <c r="B4" s="34"/>
      <c r="D4" s="34"/>
      <c r="E4" s="24"/>
      <c r="F4" s="24"/>
      <c r="G4" s="39"/>
      <c r="H4" s="47"/>
      <c r="I4" s="24"/>
    </row>
    <row r="5" spans="2:13" s="38" customFormat="1" ht="16.95" customHeight="1">
      <c r="B5" s="46" t="s">
        <v>121</v>
      </c>
      <c r="C5" s="56"/>
      <c r="D5" s="46" t="s">
        <v>66</v>
      </c>
      <c r="E5" s="27"/>
      <c r="F5" s="27"/>
      <c r="G5" s="27"/>
      <c r="H5" s="27"/>
      <c r="I5" s="44"/>
      <c r="M5" s="44"/>
    </row>
    <row r="6" spans="2:13" s="38" customFormat="1" ht="30.6" customHeight="1">
      <c r="B6" s="58">
        <f ca="1">D57</f>
        <v>0</v>
      </c>
      <c r="C6" s="59"/>
      <c r="D6" s="49">
        <f ca="1">D59</f>
        <v>0</v>
      </c>
      <c r="E6" s="33"/>
      <c r="F6" s="33"/>
      <c r="G6" s="33"/>
      <c r="H6" s="33"/>
      <c r="I6" s="44"/>
      <c r="M6" s="44"/>
    </row>
    <row r="7" spans="2:9" s="38" customFormat="1" ht="21.6" customHeight="1">
      <c r="B7" s="34"/>
      <c r="D7" s="34"/>
      <c r="E7" s="24"/>
      <c r="F7" s="24"/>
      <c r="G7" s="39"/>
      <c r="H7" s="47"/>
      <c r="I7" s="13"/>
    </row>
    <row r="8" spans="2:17" s="38" customFormat="1" ht="15.6" customHeight="1">
      <c r="B8" s="42" t="e">
        <f ca="1">"Periode:     "&amp;_XLL.ONESTOP.REPORTPLAYER.OSRFUNCTIONS.OSRPAR("Periode")</f>
        <v>#NAME?</v>
      </c>
      <c r="C8" s="42"/>
      <c r="D8" s="34"/>
      <c r="E8" s="13"/>
      <c r="F8" s="13"/>
      <c r="G8" s="13"/>
      <c r="H8" s="60">
        <f ca="1">TODAY()</f>
        <v>44972</v>
      </c>
      <c r="I8" s="62"/>
      <c r="J8" s="13"/>
      <c r="K8" s="13"/>
      <c r="L8" s="13"/>
      <c r="M8" s="13"/>
      <c r="N8" s="13"/>
      <c r="O8" s="13"/>
      <c r="P8" s="13"/>
      <c r="Q8" s="13"/>
    </row>
    <row r="9" spans="2:18" s="38" customFormat="1" ht="6.6" customHeight="1">
      <c r="B9" s="9"/>
      <c r="C9" s="9"/>
      <c r="D9" s="9"/>
      <c r="E9" s="9"/>
      <c r="F9" s="9"/>
      <c r="G9" s="9"/>
      <c r="H9" s="9"/>
      <c r="I9" s="9"/>
      <c r="J9" s="5"/>
      <c r="K9" s="5"/>
      <c r="L9" s="5"/>
      <c r="M9" s="5"/>
      <c r="N9" s="5"/>
      <c r="O9" s="5"/>
      <c r="P9" s="5"/>
      <c r="Q9" s="5"/>
      <c r="R9" s="5"/>
    </row>
    <row r="10" spans="2:9" s="29" customFormat="1" ht="21.6" customHeight="1">
      <c r="B10" s="18"/>
      <c r="C10" s="18"/>
      <c r="D10" s="61" t="s">
        <v>142</v>
      </c>
      <c r="E10" s="61"/>
      <c r="F10" s="18"/>
      <c r="G10" s="61" t="s">
        <v>142</v>
      </c>
      <c r="H10" s="61"/>
      <c r="I10" s="18"/>
    </row>
    <row r="11" spans="2:9" s="29" customFormat="1" ht="21.6" customHeight="1">
      <c r="B11" s="18"/>
      <c r="C11" s="18"/>
      <c r="D11" s="40" t="e">
        <f ca="1">_XLL.ONESTOP.REPORTPLAYER.OSRFUNCTIONS.OSRGET("Period","StartDate")</f>
        <v>#NAME?</v>
      </c>
      <c r="E11" s="40" t="e">
        <f ca="1">_XLL.ONESTOP.REPORTPLAYER.OSRFUNCTIONS.OSRGET("Period","StartDate")</f>
        <v>#NAME?</v>
      </c>
      <c r="F11" s="18" t="s">
        <v>19</v>
      </c>
      <c r="G11" s="18" t="s">
        <v>325</v>
      </c>
      <c r="H11" s="18" t="s">
        <v>92</v>
      </c>
      <c r="I11" s="18" t="s">
        <v>19</v>
      </c>
    </row>
    <row r="12" spans="2:18" s="38" customFormat="1" ht="6.6" customHeight="1">
      <c r="B12" s="9"/>
      <c r="C12" s="9"/>
      <c r="D12" s="9"/>
      <c r="E12" s="9"/>
      <c r="F12" s="9"/>
      <c r="G12" s="9"/>
      <c r="H12" s="9"/>
      <c r="I12" s="9"/>
      <c r="J12" s="5"/>
      <c r="K12" s="5"/>
      <c r="L12" s="5"/>
      <c r="M12" s="5"/>
      <c r="N12" s="5"/>
      <c r="O12" s="5"/>
      <c r="P12" s="5"/>
      <c r="Q12" s="5"/>
      <c r="R12" s="5"/>
    </row>
    <row r="13" spans="2:9" s="29" customFormat="1" ht="2.4" customHeight="1">
      <c r="B13" s="48"/>
      <c r="C13" s="48"/>
      <c r="D13" s="20"/>
      <c r="E13" s="20"/>
      <c r="F13" s="20"/>
      <c r="G13" s="20"/>
      <c r="H13" s="20"/>
      <c r="I13" s="20"/>
    </row>
    <row r="14" spans="2:9" s="29" customFormat="1" ht="6.6" customHeight="1">
      <c r="B14" s="14"/>
      <c r="C14" s="14"/>
      <c r="D14" s="35"/>
      <c r="E14" s="35"/>
      <c r="F14" s="35"/>
      <c r="G14" s="2"/>
      <c r="H14" s="2"/>
      <c r="I14" s="2"/>
    </row>
    <row r="15" spans="2:18" s="29" customFormat="1" ht="15.6" customHeight="1" outlineLevel="1">
      <c r="B15" s="10" t="e">
        <f ca="1">_XLL.ONESTOP.REPORTPLAYER.OSRFUNCTIONS.OSRGET("Account","AcNo")</f>
        <v>#NAME?</v>
      </c>
      <c r="C15" s="12" t="e">
        <f ca="1">_XLL.ONESTOP.REPORTPLAYER.OSRFUNCTIONS.OSRGET("Account","Nm")</f>
        <v>#NAME?</v>
      </c>
      <c r="D15" s="3" t="e">
        <f ca="1">_XLL.ONESTOP.REPORTPLAYER.OSRFUNCTIONS.OSRGET("ActualTransaction","AcAm")*-1</f>
        <v>#NAME?</v>
      </c>
      <c r="E15" s="3" t="e">
        <f ca="1">_XLL.ONESTOP.REPORTPLAYER.OSRFUNCTIONS.OSRGET("ActualTransaction","AcAm")*-1</f>
        <v>#NAME?</v>
      </c>
      <c r="F15" s="7">
        <f ca="1">_xlfn.IFERROR($D15-$E15,0)</f>
        <v>0</v>
      </c>
      <c r="G15" s="3" t="e">
        <f ca="1">_XLL.ONESTOP.REPORTPLAYER.OSRFUNCTIONS.OSRGET("ActualTransaction","AcAm")*-1</f>
        <v>#NAME?</v>
      </c>
      <c r="H15" s="3" t="e">
        <f ca="1">_XLL.ONESTOP.REPORTPLAYER.OSRFUNCTIONS.OSRGET("ActualTransaction","AcAm")*-1</f>
        <v>#NAME?</v>
      </c>
      <c r="I15" s="7">
        <f ca="1">_xlfn.IFERROR($G15-$H15,0)</f>
        <v>0</v>
      </c>
      <c r="J15" s="2"/>
      <c r="K15" s="2"/>
      <c r="L15" s="2"/>
      <c r="M15" s="2"/>
      <c r="N15" s="2"/>
      <c r="O15" s="2"/>
      <c r="P15" s="2"/>
      <c r="Q15" s="2"/>
      <c r="R15" s="2"/>
    </row>
    <row r="16" spans="2:18" s="29" customFormat="1" ht="15.6" customHeight="1">
      <c r="B16" s="8" t="s">
        <v>234</v>
      </c>
      <c r="C16" s="8"/>
      <c r="D16" s="4" t="e">
        <f ca="1">SUM(_XLL.ONESTOP.REPORTPLAYER.OSRFUNCTIONS.OSRREF(D15))</f>
        <v>#NAME?</v>
      </c>
      <c r="E16" s="4" t="e">
        <f ca="1">SUM(_XLL.ONESTOP.REPORTPLAYER.OSRFUNCTIONS.OSRREF(E15))</f>
        <v>#NAME?</v>
      </c>
      <c r="F16" s="6">
        <f aca="true" t="shared" si="0" ref="F16:F19">_xlfn.IFERROR(D16-E16,0)</f>
        <v>0</v>
      </c>
      <c r="G16" s="4" t="e">
        <f ca="1">SUM(_XLL.ONESTOP.REPORTPLAYER.OSRFUNCTIONS.OSRREF(G15))</f>
        <v>#NAME?</v>
      </c>
      <c r="H16" s="4" t="e">
        <f ca="1">SUM(_XLL.ONESTOP.REPORTPLAYER.OSRFUNCTIONS.OSRREF(H15))</f>
        <v>#NAME?</v>
      </c>
      <c r="I16" s="6">
        <f aca="true" t="shared" si="1" ref="I16:I19">_xlfn.IFERROR(G16-H16,0)</f>
        <v>0</v>
      </c>
      <c r="J16" s="2"/>
      <c r="K16" s="2"/>
      <c r="L16" s="2"/>
      <c r="M16" s="2"/>
      <c r="N16" s="2"/>
      <c r="O16" s="2"/>
      <c r="P16" s="2"/>
      <c r="Q16" s="2"/>
      <c r="R16" s="2"/>
    </row>
    <row r="17" spans="2:18" s="29" customFormat="1" ht="15.6" customHeight="1" hidden="1" outlineLevel="1">
      <c r="B17" s="10" t="e">
        <f ca="1">_XLL.ONESTOP.REPORTPLAYER.OSRFUNCTIONS.OSRGET("Account","AcNo")</f>
        <v>#NAME?</v>
      </c>
      <c r="C17" s="12" t="e">
        <f ca="1">_XLL.ONESTOP.REPORTPLAYER.OSRFUNCTIONS.OSRGET("Account","Nm")</f>
        <v>#NAME?</v>
      </c>
      <c r="D17" s="3" t="e">
        <f ca="1">_XLL.ONESTOP.REPORTPLAYER.OSRFUNCTIONS.OSRGET("ActualTransaction","AcAm")</f>
        <v>#NAME?</v>
      </c>
      <c r="E17" s="3" t="e">
        <f ca="1">_XLL.ONESTOP.REPORTPLAYER.OSRFUNCTIONS.OSRGET("ActualTransaction","AcAm")</f>
        <v>#NAME?</v>
      </c>
      <c r="F17" s="7">
        <f ca="1" t="shared" si="0"/>
        <v>0</v>
      </c>
      <c r="G17" s="3" t="e">
        <f ca="1">_XLL.ONESTOP.REPORTPLAYER.OSRFUNCTIONS.OSRGET("ActualTransaction","AcAm")</f>
        <v>#NAME?</v>
      </c>
      <c r="H17" s="3" t="e">
        <f ca="1">_XLL.ONESTOP.REPORTPLAYER.OSRFUNCTIONS.OSRGET("ActualTransaction","AcAm")</f>
        <v>#NAME?</v>
      </c>
      <c r="I17" s="7">
        <f ca="1" t="shared" si="1"/>
        <v>0</v>
      </c>
      <c r="J17" s="2"/>
      <c r="K17" s="2"/>
      <c r="L17" s="2"/>
      <c r="M17" s="2"/>
      <c r="N17" s="2"/>
      <c r="O17" s="2"/>
      <c r="P17" s="2"/>
      <c r="Q17" s="2"/>
      <c r="R17" s="2"/>
    </row>
    <row r="18" spans="2:18" s="29" customFormat="1" ht="15.6" customHeight="1" collapsed="1" thickBot="1">
      <c r="B18" s="8" t="s">
        <v>213</v>
      </c>
      <c r="C18" s="8"/>
      <c r="D18" s="4" t="e">
        <f ca="1">SUM(_XLL.ONESTOP.REPORTPLAYER.OSRFUNCTIONS.OSRREF(D17))</f>
        <v>#NAME?</v>
      </c>
      <c r="E18" s="4" t="e">
        <f ca="1">SUM(_XLL.ONESTOP.REPORTPLAYER.OSRFUNCTIONS.OSRREF(E17))</f>
        <v>#NAME?</v>
      </c>
      <c r="F18" s="6">
        <f ca="1" t="shared" si="0"/>
        <v>0</v>
      </c>
      <c r="G18" s="4" t="e">
        <f ca="1">SUM(_XLL.ONESTOP.REPORTPLAYER.OSRFUNCTIONS.OSRREF(G17))</f>
        <v>#NAME?</v>
      </c>
      <c r="H18" s="4" t="e">
        <f ca="1">SUM(_XLL.ONESTOP.REPORTPLAYER.OSRFUNCTIONS.OSRREF(H17))</f>
        <v>#NAME?</v>
      </c>
      <c r="I18" s="6">
        <f ca="1" t="shared" si="1"/>
        <v>0</v>
      </c>
      <c r="J18" s="2"/>
      <c r="K18" s="2"/>
      <c r="L18" s="2"/>
      <c r="M18" s="2"/>
      <c r="N18" s="2"/>
      <c r="O18" s="2"/>
      <c r="P18" s="2"/>
      <c r="Q18" s="2"/>
      <c r="R18" s="2"/>
    </row>
    <row r="19" spans="2:18" s="29" customFormat="1" ht="21" customHeight="1" thickTop="1">
      <c r="B19" s="37" t="s">
        <v>41</v>
      </c>
      <c r="C19" s="36"/>
      <c r="D19" s="11" t="e">
        <f aca="true" t="shared" si="2" ref="D19:E19">D16-D18</f>
        <v>#NAME?</v>
      </c>
      <c r="E19" s="11" t="e">
        <f ca="1" t="shared" si="2"/>
        <v>#NAME?</v>
      </c>
      <c r="F19" s="22">
        <f ca="1" t="shared" si="0"/>
        <v>0</v>
      </c>
      <c r="G19" s="11" t="e">
        <f aca="true" t="shared" si="3" ref="G19:H19">G16-G18</f>
        <v>#NAME?</v>
      </c>
      <c r="H19" s="11" t="e">
        <f ca="1" t="shared" si="3"/>
        <v>#NAME?</v>
      </c>
      <c r="I19" s="22">
        <f ca="1" t="shared" si="1"/>
        <v>0</v>
      </c>
      <c r="J19" s="2"/>
      <c r="K19" s="2"/>
      <c r="L19" s="2"/>
      <c r="M19" s="2"/>
      <c r="N19" s="2"/>
      <c r="O19" s="2"/>
      <c r="P19" s="2"/>
      <c r="Q19" s="2"/>
      <c r="R19" s="2"/>
    </row>
    <row r="20" spans="6:9" ht="7.2" customHeight="1">
      <c r="F20" s="43"/>
      <c r="I20" s="43"/>
    </row>
    <row r="21" spans="2:18" s="29" customFormat="1" ht="15.6" customHeight="1" hidden="1" outlineLevel="1">
      <c r="B21" s="10" t="e">
        <f ca="1">_XLL.ONESTOP.REPORTPLAYER.OSRFUNCTIONS.OSRGET("Account","AcNo")</f>
        <v>#NAME?</v>
      </c>
      <c r="C21" s="12" t="e">
        <f ca="1">_XLL.ONESTOP.REPORTPLAYER.OSRFUNCTIONS.OSRGET("Account","Nm")</f>
        <v>#NAME?</v>
      </c>
      <c r="D21" s="3" t="e">
        <f ca="1">_XLL.ONESTOP.REPORTPLAYER.OSRFUNCTIONS.OSRGET("ActualTransaction","AcAm")</f>
        <v>#NAME?</v>
      </c>
      <c r="E21" s="3" t="e">
        <f ca="1">_XLL.ONESTOP.REPORTPLAYER.OSRFUNCTIONS.OSRGET("ActualTransaction","AcAm")</f>
        <v>#NAME?</v>
      </c>
      <c r="F21" s="7">
        <f aca="true" t="shared" si="4" ref="F21:F39">_xlfn.IFERROR(D21-E21,0)</f>
        <v>0</v>
      </c>
      <c r="G21" s="3" t="e">
        <f ca="1">_XLL.ONESTOP.REPORTPLAYER.OSRFUNCTIONS.OSRGET("ActualTransaction","AcAm")</f>
        <v>#NAME?</v>
      </c>
      <c r="H21" s="3" t="e">
        <f ca="1">_XLL.ONESTOP.REPORTPLAYER.OSRFUNCTIONS.OSRGET("ActualTransaction","AcAm")</f>
        <v>#NAME?</v>
      </c>
      <c r="I21" s="7">
        <f aca="true" t="shared" si="5" ref="I21:I39">_xlfn.IFERROR(G21-H21,0)</f>
        <v>0</v>
      </c>
      <c r="J21" s="2"/>
      <c r="K21" s="2"/>
      <c r="L21" s="2"/>
      <c r="M21" s="2"/>
      <c r="N21" s="2"/>
      <c r="O21" s="2"/>
      <c r="P21" s="2"/>
      <c r="Q21" s="2"/>
      <c r="R21" s="2"/>
    </row>
    <row r="22" spans="2:18" s="29" customFormat="1" ht="15.6" customHeight="1" collapsed="1">
      <c r="B22" s="8" t="s">
        <v>183</v>
      </c>
      <c r="C22" s="8"/>
      <c r="D22" s="4" t="e">
        <f ca="1">SUM(_XLL.ONESTOP.REPORTPLAYER.OSRFUNCTIONS.OSRREF(D21))</f>
        <v>#NAME?</v>
      </c>
      <c r="E22" s="4" t="e">
        <f ca="1">SUM(_XLL.ONESTOP.REPORTPLAYER.OSRFUNCTIONS.OSRREF(E21))</f>
        <v>#NAME?</v>
      </c>
      <c r="F22" s="6">
        <f ca="1" t="shared" si="4"/>
        <v>0</v>
      </c>
      <c r="G22" s="4" t="e">
        <f ca="1">SUM(_XLL.ONESTOP.REPORTPLAYER.OSRFUNCTIONS.OSRREF(G21))</f>
        <v>#NAME?</v>
      </c>
      <c r="H22" s="4" t="e">
        <f ca="1">SUM(_XLL.ONESTOP.REPORTPLAYER.OSRFUNCTIONS.OSRREF(H21))</f>
        <v>#NAME?</v>
      </c>
      <c r="I22" s="6">
        <f ca="1" t="shared" si="5"/>
        <v>0</v>
      </c>
      <c r="J22" s="2"/>
      <c r="K22" s="2"/>
      <c r="L22" s="2"/>
      <c r="M22" s="2"/>
      <c r="N22" s="2"/>
      <c r="O22" s="2"/>
      <c r="P22" s="2"/>
      <c r="Q22" s="2"/>
      <c r="R22" s="2"/>
    </row>
    <row r="23" spans="2:18" s="29" customFormat="1" ht="15.6" customHeight="1" hidden="1" outlineLevel="1">
      <c r="B23" s="10" t="e">
        <f ca="1">_XLL.ONESTOP.REPORTPLAYER.OSRFUNCTIONS.OSRGET("Account","AcNo")</f>
        <v>#NAME?</v>
      </c>
      <c r="C23" s="12" t="e">
        <f ca="1">_XLL.ONESTOP.REPORTPLAYER.OSRFUNCTIONS.OSRGET("Account","Nm")</f>
        <v>#NAME?</v>
      </c>
      <c r="D23" s="3" t="e">
        <f ca="1">_XLL.ONESTOP.REPORTPLAYER.OSRFUNCTIONS.OSRGET("ActualTransaction","AcAm")</f>
        <v>#NAME?</v>
      </c>
      <c r="E23" s="3" t="e">
        <f ca="1">_XLL.ONESTOP.REPORTPLAYER.OSRFUNCTIONS.OSRGET("ActualTransaction","AcAm")</f>
        <v>#NAME?</v>
      </c>
      <c r="F23" s="7">
        <f ca="1" t="shared" si="4"/>
        <v>0</v>
      </c>
      <c r="G23" s="3" t="e">
        <f ca="1">_XLL.ONESTOP.REPORTPLAYER.OSRFUNCTIONS.OSRGET("ActualTransaction","AcAm")</f>
        <v>#NAME?</v>
      </c>
      <c r="H23" s="3" t="e">
        <f ca="1">_XLL.ONESTOP.REPORTPLAYER.OSRFUNCTIONS.OSRGET("ActualTransaction","AcAm")</f>
        <v>#NAME?</v>
      </c>
      <c r="I23" s="7">
        <f ca="1" t="shared" si="5"/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2:18" s="29" customFormat="1" ht="15.6" customHeight="1" collapsed="1">
      <c r="B24" s="8" t="s">
        <v>42</v>
      </c>
      <c r="C24" s="8"/>
      <c r="D24" s="4" t="e">
        <f ca="1">SUM(_XLL.ONESTOP.REPORTPLAYER.OSRFUNCTIONS.OSRREF(D23))</f>
        <v>#NAME?</v>
      </c>
      <c r="E24" s="4" t="e">
        <f ca="1">SUM(_XLL.ONESTOP.REPORTPLAYER.OSRFUNCTIONS.OSRREF(E23))</f>
        <v>#NAME?</v>
      </c>
      <c r="F24" s="6">
        <f ca="1" t="shared" si="4"/>
        <v>0</v>
      </c>
      <c r="G24" s="4" t="e">
        <f ca="1">SUM(_XLL.ONESTOP.REPORTPLAYER.OSRFUNCTIONS.OSRREF(G23))</f>
        <v>#NAME?</v>
      </c>
      <c r="H24" s="4" t="e">
        <f ca="1">SUM(_XLL.ONESTOP.REPORTPLAYER.OSRFUNCTIONS.OSRREF(H23))</f>
        <v>#NAME?</v>
      </c>
      <c r="I24" s="6">
        <f ca="1" t="shared" si="5"/>
        <v>0</v>
      </c>
      <c r="J24" s="2"/>
      <c r="K24" s="2"/>
      <c r="L24" s="2"/>
      <c r="M24" s="2"/>
      <c r="N24" s="2"/>
      <c r="O24" s="2"/>
      <c r="P24" s="2"/>
      <c r="Q24" s="2"/>
      <c r="R24" s="2"/>
    </row>
    <row r="25" spans="2:18" s="29" customFormat="1" ht="15.6" customHeight="1" hidden="1" outlineLevel="1">
      <c r="B25" s="10" t="e">
        <f ca="1">_XLL.ONESTOP.REPORTPLAYER.OSRFUNCTIONS.OSRGET("Account","AcNo")</f>
        <v>#NAME?</v>
      </c>
      <c r="C25" s="12" t="e">
        <f ca="1">_XLL.ONESTOP.REPORTPLAYER.OSRFUNCTIONS.OSRGET("Account","Nm")</f>
        <v>#NAME?</v>
      </c>
      <c r="D25" s="3" t="e">
        <f ca="1">_XLL.ONESTOP.REPORTPLAYER.OSRFUNCTIONS.OSRGET("ActualTransaction","AcAm")</f>
        <v>#NAME?</v>
      </c>
      <c r="E25" s="3" t="e">
        <f ca="1">_XLL.ONESTOP.REPORTPLAYER.OSRFUNCTIONS.OSRGET("ActualTransaction","AcAm")</f>
        <v>#NAME?</v>
      </c>
      <c r="F25" s="7">
        <f ca="1" t="shared" si="4"/>
        <v>0</v>
      </c>
      <c r="G25" s="3" t="e">
        <f ca="1">_XLL.ONESTOP.REPORTPLAYER.OSRFUNCTIONS.OSRGET("ActualTransaction","AcAm")</f>
        <v>#NAME?</v>
      </c>
      <c r="H25" s="3" t="e">
        <f ca="1">_XLL.ONESTOP.REPORTPLAYER.OSRFUNCTIONS.OSRGET("ActualTransaction","AcAm")</f>
        <v>#NAME?</v>
      </c>
      <c r="I25" s="7">
        <f ca="1" t="shared" si="5"/>
        <v>0</v>
      </c>
      <c r="J25" s="2"/>
      <c r="K25" s="2"/>
      <c r="L25" s="2"/>
      <c r="M25" s="2"/>
      <c r="N25" s="2"/>
      <c r="O25" s="2"/>
      <c r="P25" s="2"/>
      <c r="Q25" s="2"/>
      <c r="R25" s="2"/>
    </row>
    <row r="26" spans="2:18" s="29" customFormat="1" ht="15.6" customHeight="1" collapsed="1">
      <c r="B26" s="8" t="s">
        <v>342</v>
      </c>
      <c r="C26" s="8"/>
      <c r="D26" s="4" t="e">
        <f ca="1">SUM(_XLL.ONESTOP.REPORTPLAYER.OSRFUNCTIONS.OSRREF(D25))</f>
        <v>#NAME?</v>
      </c>
      <c r="E26" s="4" t="e">
        <f ca="1">SUM(_XLL.ONESTOP.REPORTPLAYER.OSRFUNCTIONS.OSRREF(E25))</f>
        <v>#NAME?</v>
      </c>
      <c r="F26" s="6">
        <f ca="1" t="shared" si="4"/>
        <v>0</v>
      </c>
      <c r="G26" s="4" t="e">
        <f ca="1">SUM(_XLL.ONESTOP.REPORTPLAYER.OSRFUNCTIONS.OSRREF(G25))</f>
        <v>#NAME?</v>
      </c>
      <c r="H26" s="4" t="e">
        <f ca="1">SUM(_XLL.ONESTOP.REPORTPLAYER.OSRFUNCTIONS.OSRREF(H25))</f>
        <v>#NAME?</v>
      </c>
      <c r="I26" s="6">
        <f ca="1" t="shared" si="5"/>
        <v>0</v>
      </c>
      <c r="J26" s="2"/>
      <c r="K26" s="2"/>
      <c r="L26" s="2"/>
      <c r="M26" s="2"/>
      <c r="N26" s="2"/>
      <c r="O26" s="2"/>
      <c r="P26" s="2"/>
      <c r="Q26" s="2"/>
      <c r="R26" s="2"/>
    </row>
    <row r="27" spans="2:18" s="29" customFormat="1" ht="15.6" customHeight="1" hidden="1" outlineLevel="1">
      <c r="B27" s="10" t="e">
        <f ca="1">_XLL.ONESTOP.REPORTPLAYER.OSRFUNCTIONS.OSRGET("Account","AcNo")</f>
        <v>#NAME?</v>
      </c>
      <c r="C27" s="12" t="e">
        <f ca="1">_XLL.ONESTOP.REPORTPLAYER.OSRFUNCTIONS.OSRGET("Account","Nm")</f>
        <v>#NAME?</v>
      </c>
      <c r="D27" s="3" t="e">
        <f ca="1">_XLL.ONESTOP.REPORTPLAYER.OSRFUNCTIONS.OSRGET("ActualTransaction","AcAm")</f>
        <v>#NAME?</v>
      </c>
      <c r="E27" s="3" t="e">
        <f ca="1">_XLL.ONESTOP.REPORTPLAYER.OSRFUNCTIONS.OSRGET("ActualTransaction","AcAm")</f>
        <v>#NAME?</v>
      </c>
      <c r="F27" s="7">
        <f ca="1" t="shared" si="4"/>
        <v>0</v>
      </c>
      <c r="G27" s="3" t="e">
        <f ca="1">_XLL.ONESTOP.REPORTPLAYER.OSRFUNCTIONS.OSRGET("ActualTransaction","AcAm")</f>
        <v>#NAME?</v>
      </c>
      <c r="H27" s="3" t="e">
        <f ca="1">_XLL.ONESTOP.REPORTPLAYER.OSRFUNCTIONS.OSRGET("ActualTransaction","AcAm")</f>
        <v>#NAME?</v>
      </c>
      <c r="I27" s="7">
        <f ca="1" t="shared" si="5"/>
        <v>0</v>
      </c>
      <c r="J27" s="2"/>
      <c r="K27" s="2"/>
      <c r="L27" s="2"/>
      <c r="M27" s="2"/>
      <c r="N27" s="2"/>
      <c r="O27" s="2"/>
      <c r="P27" s="2"/>
      <c r="Q27" s="2"/>
      <c r="R27" s="2"/>
    </row>
    <row r="28" spans="2:18" s="29" customFormat="1" ht="15.6" customHeight="1" collapsed="1">
      <c r="B28" s="8" t="s">
        <v>326</v>
      </c>
      <c r="C28" s="8"/>
      <c r="D28" s="4" t="e">
        <f ca="1">SUM(_XLL.ONESTOP.REPORTPLAYER.OSRFUNCTIONS.OSRREF(D27))</f>
        <v>#NAME?</v>
      </c>
      <c r="E28" s="4" t="e">
        <f ca="1">SUM(_XLL.ONESTOP.REPORTPLAYER.OSRFUNCTIONS.OSRREF(E27))</f>
        <v>#NAME?</v>
      </c>
      <c r="F28" s="6">
        <f ca="1" t="shared" si="4"/>
        <v>0</v>
      </c>
      <c r="G28" s="4" t="e">
        <f ca="1">SUM(_XLL.ONESTOP.REPORTPLAYER.OSRFUNCTIONS.OSRREF(G27))</f>
        <v>#NAME?</v>
      </c>
      <c r="H28" s="4" t="e">
        <f ca="1">SUM(_XLL.ONESTOP.REPORTPLAYER.OSRFUNCTIONS.OSRREF(H27))</f>
        <v>#NAME?</v>
      </c>
      <c r="I28" s="6">
        <f ca="1" t="shared" si="5"/>
        <v>0</v>
      </c>
      <c r="J28" s="2"/>
      <c r="K28" s="2"/>
      <c r="L28" s="2"/>
      <c r="M28" s="2"/>
      <c r="N28" s="2"/>
      <c r="O28" s="2"/>
      <c r="P28" s="2"/>
      <c r="Q28" s="2"/>
      <c r="R28" s="2"/>
    </row>
    <row r="29" spans="2:18" s="29" customFormat="1" ht="15.6" customHeight="1" hidden="1" outlineLevel="1">
      <c r="B29" s="10" t="e">
        <f ca="1">_XLL.ONESTOP.REPORTPLAYER.OSRFUNCTIONS.OSRGET("Account","AcNo")</f>
        <v>#NAME?</v>
      </c>
      <c r="C29" s="12" t="e">
        <f ca="1">_XLL.ONESTOP.REPORTPLAYER.OSRFUNCTIONS.OSRGET("Account","Nm")</f>
        <v>#NAME?</v>
      </c>
      <c r="D29" s="3" t="e">
        <f ca="1">_XLL.ONESTOP.REPORTPLAYER.OSRFUNCTIONS.OSRGET("ActualTransaction","AcAm")</f>
        <v>#NAME?</v>
      </c>
      <c r="E29" s="3" t="e">
        <f ca="1">_XLL.ONESTOP.REPORTPLAYER.OSRFUNCTIONS.OSRGET("ActualTransaction","AcAm")</f>
        <v>#NAME?</v>
      </c>
      <c r="F29" s="7">
        <f ca="1" t="shared" si="4"/>
        <v>0</v>
      </c>
      <c r="G29" s="3" t="e">
        <f ca="1">_XLL.ONESTOP.REPORTPLAYER.OSRFUNCTIONS.OSRGET("ActualTransaction","AcAm")</f>
        <v>#NAME?</v>
      </c>
      <c r="H29" s="3" t="e">
        <f ca="1">_XLL.ONESTOP.REPORTPLAYER.OSRFUNCTIONS.OSRGET("ActualTransaction","AcAm")</f>
        <v>#NAME?</v>
      </c>
      <c r="I29" s="7">
        <f ca="1" t="shared" si="5"/>
        <v>0</v>
      </c>
      <c r="J29" s="2"/>
      <c r="K29" s="2"/>
      <c r="L29" s="2"/>
      <c r="M29" s="2"/>
      <c r="N29" s="2"/>
      <c r="O29" s="2"/>
      <c r="P29" s="2"/>
      <c r="Q29" s="2"/>
      <c r="R29" s="2"/>
    </row>
    <row r="30" spans="2:18" s="29" customFormat="1" ht="15.6" customHeight="1" collapsed="1">
      <c r="B30" s="8" t="s">
        <v>122</v>
      </c>
      <c r="C30" s="8"/>
      <c r="D30" s="4" t="e">
        <f ca="1">SUM(_XLL.ONESTOP.REPORTPLAYER.OSRFUNCTIONS.OSRREF(D29))</f>
        <v>#NAME?</v>
      </c>
      <c r="E30" s="4" t="e">
        <f ca="1">SUM(_XLL.ONESTOP.REPORTPLAYER.OSRFUNCTIONS.OSRREF(E29))</f>
        <v>#NAME?</v>
      </c>
      <c r="F30" s="6">
        <f ca="1" t="shared" si="4"/>
        <v>0</v>
      </c>
      <c r="G30" s="4" t="e">
        <f ca="1">SUM(_XLL.ONESTOP.REPORTPLAYER.OSRFUNCTIONS.OSRREF(G29))</f>
        <v>#NAME?</v>
      </c>
      <c r="H30" s="4" t="e">
        <f ca="1">SUM(_XLL.ONESTOP.REPORTPLAYER.OSRFUNCTIONS.OSRREF(H29))</f>
        <v>#NAME?</v>
      </c>
      <c r="I30" s="6">
        <f ca="1" t="shared" si="5"/>
        <v>0</v>
      </c>
      <c r="J30" s="2"/>
      <c r="K30" s="2"/>
      <c r="L30" s="2"/>
      <c r="M30" s="2"/>
      <c r="N30" s="2"/>
      <c r="O30" s="2"/>
      <c r="P30" s="2"/>
      <c r="Q30" s="2"/>
      <c r="R30" s="2"/>
    </row>
    <row r="31" spans="2:18" s="29" customFormat="1" ht="15.6" customHeight="1" hidden="1" outlineLevel="1">
      <c r="B31" s="10" t="e">
        <f ca="1">_XLL.ONESTOP.REPORTPLAYER.OSRFUNCTIONS.OSRGET("Account","AcNo")</f>
        <v>#NAME?</v>
      </c>
      <c r="C31" s="12" t="e">
        <f ca="1">_XLL.ONESTOP.REPORTPLAYER.OSRFUNCTIONS.OSRGET("Account","Nm")</f>
        <v>#NAME?</v>
      </c>
      <c r="D31" s="3" t="e">
        <f ca="1">_XLL.ONESTOP.REPORTPLAYER.OSRFUNCTIONS.OSRGET("ActualTransaction","AcAm")</f>
        <v>#NAME?</v>
      </c>
      <c r="E31" s="3" t="e">
        <f ca="1">_XLL.ONESTOP.REPORTPLAYER.OSRFUNCTIONS.OSRGET("ActualTransaction","AcAm")</f>
        <v>#NAME?</v>
      </c>
      <c r="F31" s="7">
        <f ca="1" t="shared" si="4"/>
        <v>0</v>
      </c>
      <c r="G31" s="3" t="e">
        <f ca="1">_XLL.ONESTOP.REPORTPLAYER.OSRFUNCTIONS.OSRGET("ActualTransaction","AcAm")</f>
        <v>#NAME?</v>
      </c>
      <c r="H31" s="3" t="e">
        <f ca="1">_XLL.ONESTOP.REPORTPLAYER.OSRFUNCTIONS.OSRGET("ActualTransaction","AcAm")</f>
        <v>#NAME?</v>
      </c>
      <c r="I31" s="7">
        <f ca="1" t="shared" si="5"/>
        <v>0</v>
      </c>
      <c r="J31" s="2"/>
      <c r="K31" s="2"/>
      <c r="L31" s="2"/>
      <c r="M31" s="2"/>
      <c r="N31" s="2"/>
      <c r="O31" s="2"/>
      <c r="P31" s="2"/>
      <c r="Q31" s="2"/>
      <c r="R31" s="2"/>
    </row>
    <row r="32" spans="2:18" s="29" customFormat="1" ht="15.6" customHeight="1" collapsed="1">
      <c r="B32" s="8" t="s">
        <v>343</v>
      </c>
      <c r="C32" s="8"/>
      <c r="D32" s="4" t="e">
        <f ca="1">SUM(_XLL.ONESTOP.REPORTPLAYER.OSRFUNCTIONS.OSRREF(D31))</f>
        <v>#NAME?</v>
      </c>
      <c r="E32" s="4" t="e">
        <f ca="1">SUM(_XLL.ONESTOP.REPORTPLAYER.OSRFUNCTIONS.OSRREF(E31))</f>
        <v>#NAME?</v>
      </c>
      <c r="F32" s="6">
        <f ca="1" t="shared" si="4"/>
        <v>0</v>
      </c>
      <c r="G32" s="4" t="e">
        <f ca="1">SUM(_XLL.ONESTOP.REPORTPLAYER.OSRFUNCTIONS.OSRREF(G31))</f>
        <v>#NAME?</v>
      </c>
      <c r="H32" s="4" t="e">
        <f ca="1">SUM(_XLL.ONESTOP.REPORTPLAYER.OSRFUNCTIONS.OSRREF(H31))</f>
        <v>#NAME?</v>
      </c>
      <c r="I32" s="6">
        <f ca="1" t="shared" si="5"/>
        <v>0</v>
      </c>
      <c r="J32" s="2"/>
      <c r="K32" s="2"/>
      <c r="L32" s="2"/>
      <c r="M32" s="2"/>
      <c r="N32" s="2"/>
      <c r="O32" s="2"/>
      <c r="P32" s="2"/>
      <c r="Q32" s="2"/>
      <c r="R32" s="2"/>
    </row>
    <row r="33" spans="2:18" s="29" customFormat="1" ht="15.6" customHeight="1" hidden="1" outlineLevel="1">
      <c r="B33" s="10" t="e">
        <f ca="1">_XLL.ONESTOP.REPORTPLAYER.OSRFUNCTIONS.OSRGET("Account","AcNo")</f>
        <v>#NAME?</v>
      </c>
      <c r="C33" s="12" t="e">
        <f ca="1">_XLL.ONESTOP.REPORTPLAYER.OSRFUNCTIONS.OSRGET("Account","Nm")</f>
        <v>#NAME?</v>
      </c>
      <c r="D33" s="3" t="e">
        <f ca="1">_XLL.ONESTOP.REPORTPLAYER.OSRFUNCTIONS.OSRGET("ActualTransaction","AcAm")</f>
        <v>#NAME?</v>
      </c>
      <c r="E33" s="3" t="e">
        <f ca="1">_XLL.ONESTOP.REPORTPLAYER.OSRFUNCTIONS.OSRGET("ActualTransaction","AcAm")</f>
        <v>#NAME?</v>
      </c>
      <c r="F33" s="7">
        <f ca="1" t="shared" si="4"/>
        <v>0</v>
      </c>
      <c r="G33" s="3" t="e">
        <f ca="1">_XLL.ONESTOP.REPORTPLAYER.OSRFUNCTIONS.OSRGET("ActualTransaction","AcAm")</f>
        <v>#NAME?</v>
      </c>
      <c r="H33" s="3" t="e">
        <f ca="1">_XLL.ONESTOP.REPORTPLAYER.OSRFUNCTIONS.OSRGET("ActualTransaction","AcAm")</f>
        <v>#NAME?</v>
      </c>
      <c r="I33" s="7">
        <f ca="1" t="shared" si="5"/>
        <v>0</v>
      </c>
      <c r="J33" s="2"/>
      <c r="K33" s="2"/>
      <c r="L33" s="2"/>
      <c r="M33" s="2"/>
      <c r="N33" s="2"/>
      <c r="O33" s="2"/>
      <c r="P33" s="2"/>
      <c r="Q33" s="2"/>
      <c r="R33" s="2"/>
    </row>
    <row r="34" spans="2:18" s="29" customFormat="1" ht="15.6" customHeight="1" collapsed="1">
      <c r="B34" s="8" t="s">
        <v>184</v>
      </c>
      <c r="C34" s="8"/>
      <c r="D34" s="4" t="e">
        <f ca="1">SUM(_XLL.ONESTOP.REPORTPLAYER.OSRFUNCTIONS.OSRREF(D33))</f>
        <v>#NAME?</v>
      </c>
      <c r="E34" s="4" t="e">
        <f ca="1">SUM(_XLL.ONESTOP.REPORTPLAYER.OSRFUNCTIONS.OSRREF(E33))</f>
        <v>#NAME?</v>
      </c>
      <c r="F34" s="6">
        <f ca="1" t="shared" si="4"/>
        <v>0</v>
      </c>
      <c r="G34" s="4" t="e">
        <f ca="1">SUM(_XLL.ONESTOP.REPORTPLAYER.OSRFUNCTIONS.OSRREF(G33))</f>
        <v>#NAME?</v>
      </c>
      <c r="H34" s="4" t="e">
        <f ca="1">SUM(_XLL.ONESTOP.REPORTPLAYER.OSRFUNCTIONS.OSRREF(H33))</f>
        <v>#NAME?</v>
      </c>
      <c r="I34" s="6">
        <f ca="1" t="shared" si="5"/>
        <v>0</v>
      </c>
      <c r="J34" s="2"/>
      <c r="K34" s="2"/>
      <c r="L34" s="2"/>
      <c r="M34" s="2"/>
      <c r="N34" s="2"/>
      <c r="O34" s="2"/>
      <c r="P34" s="2"/>
      <c r="Q34" s="2"/>
      <c r="R34" s="2"/>
    </row>
    <row r="35" spans="2:18" s="29" customFormat="1" ht="15.6" customHeight="1" hidden="1" outlineLevel="1">
      <c r="B35" s="10" t="e">
        <f ca="1">_XLL.ONESTOP.REPORTPLAYER.OSRFUNCTIONS.OSRGET("Account","AcNo")</f>
        <v>#NAME?</v>
      </c>
      <c r="C35" s="12" t="e">
        <f ca="1">_XLL.ONESTOP.REPORTPLAYER.OSRFUNCTIONS.OSRGET("Account","Nm")</f>
        <v>#NAME?</v>
      </c>
      <c r="D35" s="3" t="e">
        <f ca="1">_XLL.ONESTOP.REPORTPLAYER.OSRFUNCTIONS.OSRGET("ActualTransaction","AcAm")</f>
        <v>#NAME?</v>
      </c>
      <c r="E35" s="3" t="e">
        <f ca="1">_XLL.ONESTOP.REPORTPLAYER.OSRFUNCTIONS.OSRGET("ActualTransaction","AcAm")</f>
        <v>#NAME?</v>
      </c>
      <c r="F35" s="7">
        <f ca="1" t="shared" si="4"/>
        <v>0</v>
      </c>
      <c r="G35" s="3" t="e">
        <f ca="1">_XLL.ONESTOP.REPORTPLAYER.OSRFUNCTIONS.OSRGET("ActualTransaction","AcAm")</f>
        <v>#NAME?</v>
      </c>
      <c r="H35" s="3" t="e">
        <f ca="1">_XLL.ONESTOP.REPORTPLAYER.OSRFUNCTIONS.OSRGET("ActualTransaction","AcAm")</f>
        <v>#NAME?</v>
      </c>
      <c r="I35" s="7">
        <f ca="1" t="shared" si="5"/>
        <v>0</v>
      </c>
      <c r="J35" s="2"/>
      <c r="K35" s="2"/>
      <c r="L35" s="2"/>
      <c r="M35" s="2"/>
      <c r="N35" s="2"/>
      <c r="O35" s="2"/>
      <c r="P35" s="2"/>
      <c r="Q35" s="2"/>
      <c r="R35" s="2"/>
    </row>
    <row r="36" spans="2:18" s="29" customFormat="1" ht="15.6" customHeight="1" collapsed="1">
      <c r="B36" s="8" t="s">
        <v>185</v>
      </c>
      <c r="C36" s="8"/>
      <c r="D36" s="4" t="e">
        <f ca="1">SUM(_XLL.ONESTOP.REPORTPLAYER.OSRFUNCTIONS.OSRREF(D35))</f>
        <v>#NAME?</v>
      </c>
      <c r="E36" s="4" t="e">
        <f ca="1">SUM(_XLL.ONESTOP.REPORTPLAYER.OSRFUNCTIONS.OSRREF(E35))</f>
        <v>#NAME?</v>
      </c>
      <c r="F36" s="6">
        <f ca="1" t="shared" si="4"/>
        <v>0</v>
      </c>
      <c r="G36" s="4" t="e">
        <f ca="1">SUM(_XLL.ONESTOP.REPORTPLAYER.OSRFUNCTIONS.OSRREF(G35))</f>
        <v>#NAME?</v>
      </c>
      <c r="H36" s="4" t="e">
        <f ca="1">SUM(_XLL.ONESTOP.REPORTPLAYER.OSRFUNCTIONS.OSRREF(H35))</f>
        <v>#NAME?</v>
      </c>
      <c r="I36" s="6">
        <f ca="1" t="shared" si="5"/>
        <v>0</v>
      </c>
      <c r="J36" s="2"/>
      <c r="K36" s="2"/>
      <c r="L36" s="2"/>
      <c r="M36" s="2"/>
      <c r="N36" s="2"/>
      <c r="O36" s="2"/>
      <c r="P36" s="2"/>
      <c r="Q36" s="2"/>
      <c r="R36" s="2"/>
    </row>
    <row r="37" spans="2:18" s="29" customFormat="1" ht="15.6" customHeight="1" hidden="1" outlineLevel="1">
      <c r="B37" s="10" t="e">
        <f ca="1">_XLL.ONESTOP.REPORTPLAYER.OSRFUNCTIONS.OSRGET("Account","AcNo")</f>
        <v>#NAME?</v>
      </c>
      <c r="C37" s="12" t="e">
        <f ca="1">_XLL.ONESTOP.REPORTPLAYER.OSRFUNCTIONS.OSRGET("Account","Nm")</f>
        <v>#NAME?</v>
      </c>
      <c r="D37" s="3" t="e">
        <f ca="1">_XLL.ONESTOP.REPORTPLAYER.OSRFUNCTIONS.OSRGET("ActualTransaction","AcAm")</f>
        <v>#NAME?</v>
      </c>
      <c r="E37" s="3" t="e">
        <f ca="1">_XLL.ONESTOP.REPORTPLAYER.OSRFUNCTIONS.OSRGET("ActualTransaction","AcAm")</f>
        <v>#NAME?</v>
      </c>
      <c r="F37" s="7">
        <f ca="1" t="shared" si="4"/>
        <v>0</v>
      </c>
      <c r="G37" s="3" t="e">
        <f ca="1">_XLL.ONESTOP.REPORTPLAYER.OSRFUNCTIONS.OSRGET("ActualTransaction","AcAm")</f>
        <v>#NAME?</v>
      </c>
      <c r="H37" s="3" t="e">
        <f ca="1">_XLL.ONESTOP.REPORTPLAYER.OSRFUNCTIONS.OSRGET("ActualTransaction","AcAm")</f>
        <v>#NAME?</v>
      </c>
      <c r="I37" s="7">
        <f ca="1" t="shared" si="5"/>
        <v>0</v>
      </c>
      <c r="J37" s="2"/>
      <c r="K37" s="2"/>
      <c r="L37" s="2"/>
      <c r="M37" s="2"/>
      <c r="N37" s="2"/>
      <c r="O37" s="2"/>
      <c r="P37" s="2"/>
      <c r="Q37" s="2"/>
      <c r="R37" s="2"/>
    </row>
    <row r="38" spans="2:18" s="29" customFormat="1" ht="15.6" customHeight="1" collapsed="1">
      <c r="B38" s="8" t="s">
        <v>158</v>
      </c>
      <c r="C38" s="8"/>
      <c r="D38" s="4" t="e">
        <f ca="1">SUM(_XLL.ONESTOP.REPORTPLAYER.OSRFUNCTIONS.OSRREF(D37))</f>
        <v>#NAME?</v>
      </c>
      <c r="E38" s="4" t="e">
        <f ca="1">SUM(_XLL.ONESTOP.REPORTPLAYER.OSRFUNCTIONS.OSRREF(E37))</f>
        <v>#NAME?</v>
      </c>
      <c r="F38" s="6">
        <f ca="1" t="shared" si="4"/>
        <v>0</v>
      </c>
      <c r="G38" s="4" t="e">
        <f ca="1">SUM(_XLL.ONESTOP.REPORTPLAYER.OSRFUNCTIONS.OSRREF(G37))</f>
        <v>#NAME?</v>
      </c>
      <c r="H38" s="4" t="e">
        <f ca="1">SUM(_XLL.ONESTOP.REPORTPLAYER.OSRFUNCTIONS.OSRREF(H37))</f>
        <v>#NAME?</v>
      </c>
      <c r="I38" s="6">
        <f ca="1" t="shared" si="5"/>
        <v>0</v>
      </c>
      <c r="J38" s="2"/>
      <c r="K38" s="2"/>
      <c r="L38" s="2"/>
      <c r="M38" s="2"/>
      <c r="N38" s="2"/>
      <c r="O38" s="2"/>
      <c r="P38" s="2"/>
      <c r="Q38" s="2"/>
      <c r="R38" s="2"/>
    </row>
    <row r="39" spans="2:18" s="29" customFormat="1" ht="15.6" customHeight="1">
      <c r="B39" s="30" t="s">
        <v>214</v>
      </c>
      <c r="C39" s="30"/>
      <c r="D39" s="17" t="e">
        <f aca="true" t="shared" si="6" ref="D39:E39">D22+D24+D26+D28+D30+D32+D34+D36+D38</f>
        <v>#NAME?</v>
      </c>
      <c r="E39" s="17" t="e">
        <f ca="1" t="shared" si="6"/>
        <v>#NAME?</v>
      </c>
      <c r="F39" s="31">
        <f ca="1" t="shared" si="4"/>
        <v>0</v>
      </c>
      <c r="G39" s="17" t="e">
        <f aca="true" t="shared" si="7" ref="G39:H39">G22+G24+G26+G28+G30+G32+G34+G36+G38</f>
        <v>#NAME?</v>
      </c>
      <c r="H39" s="17" t="e">
        <f ca="1" t="shared" si="7"/>
        <v>#NAME?</v>
      </c>
      <c r="I39" s="31">
        <f ca="1" t="shared" si="5"/>
        <v>0</v>
      </c>
      <c r="J39" s="2"/>
      <c r="K39" s="2"/>
      <c r="L39" s="2"/>
      <c r="M39" s="2"/>
      <c r="N39" s="2"/>
      <c r="O39" s="2"/>
      <c r="P39" s="2"/>
      <c r="Q39" s="2"/>
      <c r="R39" s="2"/>
    </row>
    <row r="40" spans="2:9" s="29" customFormat="1" ht="6.6" customHeight="1" thickBot="1">
      <c r="B40" s="14"/>
      <c r="C40" s="14"/>
      <c r="D40" s="15"/>
      <c r="E40" s="15"/>
      <c r="F40" s="23"/>
      <c r="G40" s="16"/>
      <c r="H40" s="16"/>
      <c r="I40" s="26"/>
    </row>
    <row r="41" spans="2:18" s="29" customFormat="1" ht="21.6" customHeight="1" thickTop="1">
      <c r="B41" s="37" t="s">
        <v>43</v>
      </c>
      <c r="C41" s="36"/>
      <c r="D41" s="11" t="e">
        <f aca="true" t="shared" si="8" ref="D41:E41">D19-D39</f>
        <v>#NAME?</v>
      </c>
      <c r="E41" s="11" t="e">
        <f ca="1" t="shared" si="8"/>
        <v>#NAME?</v>
      </c>
      <c r="F41" s="22">
        <f ca="1">_xlfn.IFERROR(D41-E41,0)</f>
        <v>0</v>
      </c>
      <c r="G41" s="11" t="e">
        <f aca="true" t="shared" si="9" ref="G41:H41">G19-G39</f>
        <v>#NAME?</v>
      </c>
      <c r="H41" s="11" t="e">
        <f ca="1" t="shared" si="9"/>
        <v>#NAME?</v>
      </c>
      <c r="I41" s="22">
        <f ca="1">_xlfn.IFERROR(G41-H41,0)</f>
        <v>0</v>
      </c>
      <c r="J41" s="2"/>
      <c r="K41" s="2"/>
      <c r="L41" s="2"/>
      <c r="M41" s="2"/>
      <c r="N41" s="2"/>
      <c r="O41" s="2"/>
      <c r="P41" s="2"/>
      <c r="Q41" s="2"/>
      <c r="R41" s="2"/>
    </row>
    <row r="42" spans="2:9" s="29" customFormat="1" ht="6.6" customHeight="1">
      <c r="B42" s="14"/>
      <c r="C42" s="14"/>
      <c r="D42" s="15"/>
      <c r="E42" s="15"/>
      <c r="F42" s="23"/>
      <c r="G42" s="16"/>
      <c r="H42" s="16"/>
      <c r="I42" s="26"/>
    </row>
    <row r="43" spans="2:18" s="29" customFormat="1" ht="15.6" customHeight="1" hidden="1" outlineLevel="1">
      <c r="B43" s="10" t="e">
        <f ca="1">_XLL.ONESTOP.REPORTPLAYER.OSRFUNCTIONS.OSRGET("Account","AcNo")</f>
        <v>#NAME?</v>
      </c>
      <c r="C43" s="12" t="e">
        <f ca="1">_XLL.ONESTOP.REPORTPLAYER.OSRFUNCTIONS.OSRGET("Account","Nm")</f>
        <v>#NAME?</v>
      </c>
      <c r="D43" s="3" t="e">
        <f ca="1">_XLL.ONESTOP.REPORTPLAYER.OSRFUNCTIONS.OSRGET("ActualTransaction","AcAm")</f>
        <v>#NAME?</v>
      </c>
      <c r="E43" s="3" t="e">
        <f ca="1">_XLL.ONESTOP.REPORTPLAYER.OSRFUNCTIONS.OSRGET("ActualTransaction","AcAm")</f>
        <v>#NAME?</v>
      </c>
      <c r="F43" s="7">
        <f aca="true" t="shared" si="10" ref="F43:F45">_xlfn.IFERROR(D43-E43,0)</f>
        <v>0</v>
      </c>
      <c r="G43" s="3" t="e">
        <f ca="1">_XLL.ONESTOP.REPORTPLAYER.OSRFUNCTIONS.OSRGET("ActualTransaction","AcAm")</f>
        <v>#NAME?</v>
      </c>
      <c r="H43" s="3" t="e">
        <f ca="1">_XLL.ONESTOP.REPORTPLAYER.OSRFUNCTIONS.OSRGET("ActualTransaction","AcAm")</f>
        <v>#NAME?</v>
      </c>
      <c r="I43" s="7">
        <f aca="true" t="shared" si="11" ref="I43:I45">_xlfn.IFERROR(G43-H43,0)</f>
        <v>0</v>
      </c>
      <c r="J43" s="2"/>
      <c r="K43" s="2"/>
      <c r="L43" s="2"/>
      <c r="M43" s="2"/>
      <c r="N43" s="2"/>
      <c r="O43" s="2"/>
      <c r="P43" s="2"/>
      <c r="Q43" s="2"/>
      <c r="R43" s="2"/>
    </row>
    <row r="44" spans="2:18" s="29" customFormat="1" ht="15.6" customHeight="1" collapsed="1">
      <c r="B44" s="8" t="s">
        <v>123</v>
      </c>
      <c r="C44" s="8"/>
      <c r="D44" s="4" t="e">
        <f ca="1">SUM(_XLL.ONESTOP.REPORTPLAYER.OSRFUNCTIONS.OSRREF(D43))</f>
        <v>#NAME?</v>
      </c>
      <c r="E44" s="4" t="e">
        <f ca="1">SUM(_XLL.ONESTOP.REPORTPLAYER.OSRFUNCTIONS.OSRREF(E43))</f>
        <v>#NAME?</v>
      </c>
      <c r="F44" s="6">
        <f ca="1" t="shared" si="10"/>
        <v>0</v>
      </c>
      <c r="G44" s="4" t="e">
        <f ca="1">SUM(_XLL.ONESTOP.REPORTPLAYER.OSRFUNCTIONS.OSRREF(G43))</f>
        <v>#NAME?</v>
      </c>
      <c r="H44" s="4" t="e">
        <f ca="1">SUM(_XLL.ONESTOP.REPORTPLAYER.OSRFUNCTIONS.OSRREF(H43))</f>
        <v>#NAME?</v>
      </c>
      <c r="I44" s="6">
        <f ca="1" t="shared" si="11"/>
        <v>0</v>
      </c>
      <c r="J44" s="2"/>
      <c r="K44" s="2"/>
      <c r="L44" s="2"/>
      <c r="M44" s="2"/>
      <c r="N44" s="2"/>
      <c r="O44" s="2"/>
      <c r="P44" s="2"/>
      <c r="Q44" s="2"/>
      <c r="R44" s="2"/>
    </row>
    <row r="45" spans="2:18" s="29" customFormat="1" ht="15.6" customHeight="1">
      <c r="B45" s="30" t="s">
        <v>277</v>
      </c>
      <c r="C45" s="30"/>
      <c r="D45" s="17" t="e">
        <f aca="true" t="shared" si="12" ref="D45:E45">D39+D44</f>
        <v>#NAME?</v>
      </c>
      <c r="E45" s="17" t="e">
        <f ca="1" t="shared" si="12"/>
        <v>#NAME?</v>
      </c>
      <c r="F45" s="31">
        <f ca="1" t="shared" si="10"/>
        <v>0</v>
      </c>
      <c r="G45" s="17" t="e">
        <f aca="true" t="shared" si="13" ref="G45:H45">G39+G44</f>
        <v>#NAME?</v>
      </c>
      <c r="H45" s="17" t="e">
        <f ca="1" t="shared" si="13"/>
        <v>#NAME?</v>
      </c>
      <c r="I45" s="31">
        <f ca="1" t="shared" si="11"/>
        <v>0</v>
      </c>
      <c r="J45" s="2"/>
      <c r="K45" s="2"/>
      <c r="L45" s="2"/>
      <c r="M45" s="2"/>
      <c r="N45" s="2"/>
      <c r="O45" s="2"/>
      <c r="P45" s="2"/>
      <c r="Q45" s="2"/>
      <c r="R45" s="2"/>
    </row>
    <row r="46" spans="2:9" s="29" customFormat="1" ht="6.6" customHeight="1" thickBot="1">
      <c r="B46" s="14"/>
      <c r="C46" s="14"/>
      <c r="D46" s="15"/>
      <c r="E46" s="15"/>
      <c r="F46" s="23"/>
      <c r="G46" s="16"/>
      <c r="H46" s="16"/>
      <c r="I46" s="26"/>
    </row>
    <row r="47" spans="2:18" s="29" customFormat="1" ht="21.6" customHeight="1" thickTop="1">
      <c r="B47" s="37" t="s">
        <v>304</v>
      </c>
      <c r="C47" s="36"/>
      <c r="D47" s="11" t="e">
        <f aca="true" t="shared" si="14" ref="D47:E47">D41-D44</f>
        <v>#NAME?</v>
      </c>
      <c r="E47" s="11" t="e">
        <f ca="1" t="shared" si="14"/>
        <v>#NAME?</v>
      </c>
      <c r="F47" s="22">
        <f ca="1">_xlfn.IFERROR(D47-E47,0)</f>
        <v>0</v>
      </c>
      <c r="G47" s="11" t="e">
        <f aca="true" t="shared" si="15" ref="G47:H47">G41-G44</f>
        <v>#NAME?</v>
      </c>
      <c r="H47" s="11" t="e">
        <f ca="1" t="shared" si="15"/>
        <v>#NAME?</v>
      </c>
      <c r="I47" s="22">
        <f ca="1">_xlfn.IFERROR(G47-H47,0)</f>
        <v>0</v>
      </c>
      <c r="J47" s="2"/>
      <c r="K47" s="2"/>
      <c r="L47" s="2"/>
      <c r="M47" s="2"/>
      <c r="N47" s="2"/>
      <c r="O47" s="2"/>
      <c r="P47" s="2"/>
      <c r="Q47" s="2"/>
      <c r="R47" s="2"/>
    </row>
    <row r="48" spans="2:9" s="29" customFormat="1" ht="6.6" customHeight="1">
      <c r="B48" s="14"/>
      <c r="C48" s="14"/>
      <c r="D48" s="15"/>
      <c r="E48" s="15"/>
      <c r="F48" s="23"/>
      <c r="G48" s="16"/>
      <c r="H48" s="16"/>
      <c r="I48" s="26"/>
    </row>
    <row r="49" spans="2:18" s="29" customFormat="1" ht="15.6" customHeight="1" hidden="1" outlineLevel="1">
      <c r="B49" s="10" t="e">
        <f ca="1">_XLL.ONESTOP.REPORTPLAYER.OSRFUNCTIONS.OSRGET("Account","AcNo")</f>
        <v>#NAME?</v>
      </c>
      <c r="C49" s="12" t="e">
        <f ca="1">_XLL.ONESTOP.REPORTPLAYER.OSRFUNCTIONS.OSRGET("Account","Nm")</f>
        <v>#NAME?</v>
      </c>
      <c r="D49" s="3" t="e">
        <f ca="1">-_XLL.ONESTOP.REPORTPLAYER.OSRFUNCTIONS.OSRGET("ActualTransaction","AcAm")</f>
        <v>#NAME?</v>
      </c>
      <c r="E49" s="3" t="e">
        <f ca="1">-_XLL.ONESTOP.REPORTPLAYER.OSRFUNCTIONS.OSRGET("ActualTransaction","AcAm")</f>
        <v>#NAME?</v>
      </c>
      <c r="F49" s="7">
        <f aca="true" t="shared" si="16" ref="F49:F50">_xlfn.IFERROR(D49-E49,0)</f>
        <v>0</v>
      </c>
      <c r="G49" s="3" t="e">
        <f ca="1">-_XLL.ONESTOP.REPORTPLAYER.OSRFUNCTIONS.OSRGET("ActualTransaction","AcAm")</f>
        <v>#NAME?</v>
      </c>
      <c r="H49" s="3" t="e">
        <f ca="1">-_XLL.ONESTOP.REPORTPLAYER.OSRFUNCTIONS.OSRGET("ActualTransaction","AcAm")</f>
        <v>#NAME?</v>
      </c>
      <c r="I49" s="7">
        <f aca="true" t="shared" si="17" ref="I49:I50">_xlfn.IFERROR(G49-H49,0)</f>
        <v>0</v>
      </c>
      <c r="J49" s="2"/>
      <c r="K49" s="2"/>
      <c r="L49" s="2"/>
      <c r="M49" s="2"/>
      <c r="N49" s="2"/>
      <c r="O49" s="2"/>
      <c r="P49" s="2"/>
      <c r="Q49" s="2"/>
      <c r="R49" s="2"/>
    </row>
    <row r="50" spans="2:18" s="29" customFormat="1" ht="15.6" customHeight="1" hidden="1" outlineLevel="1">
      <c r="B50" s="10" t="e">
        <f ca="1">_XLL.ONESTOP.REPORTPLAYER.OSRFUNCTIONS.OSRGET("Account","AcNo")</f>
        <v>#NAME?</v>
      </c>
      <c r="C50" s="12" t="e">
        <f ca="1">_XLL.ONESTOP.REPORTPLAYER.OSRFUNCTIONS.OSRGET("Account","Nm")</f>
        <v>#NAME?</v>
      </c>
      <c r="D50" s="3" t="e">
        <f ca="1">_XLL.ONESTOP.REPORTPLAYER.OSRFUNCTIONS.OSRGET("ActualTransaction","AcAm")</f>
        <v>#NAME?</v>
      </c>
      <c r="E50" s="3" t="e">
        <f ca="1">_XLL.ONESTOP.REPORTPLAYER.OSRFUNCTIONS.OSRGET("ActualTransaction","AcAm")</f>
        <v>#NAME?</v>
      </c>
      <c r="F50" s="7">
        <f ca="1" t="shared" si="16"/>
        <v>0</v>
      </c>
      <c r="G50" s="3" t="e">
        <f ca="1">_XLL.ONESTOP.REPORTPLAYER.OSRFUNCTIONS.OSRGET("ActualTransaction","AcAm")</f>
        <v>#NAME?</v>
      </c>
      <c r="H50" s="3" t="e">
        <f ca="1">_XLL.ONESTOP.REPORTPLAYER.OSRFUNCTIONS.OSRGET("ActualTransaction","AcAm")</f>
        <v>#NAME?</v>
      </c>
      <c r="I50" s="7">
        <f ca="1" t="shared" si="17"/>
        <v>0</v>
      </c>
      <c r="J50" s="2"/>
      <c r="K50" s="2"/>
      <c r="L50" s="2"/>
      <c r="M50" s="2"/>
      <c r="N50" s="2"/>
      <c r="O50" s="2"/>
      <c r="P50" s="2"/>
      <c r="Q50" s="2"/>
      <c r="R50" s="2"/>
    </row>
    <row r="51" spans="2:18" s="29" customFormat="1" ht="15.6" customHeight="1" collapsed="1">
      <c r="B51" s="19" t="s">
        <v>67</v>
      </c>
      <c r="C51" s="19"/>
      <c r="D51" s="4" t="e">
        <f ca="1">SUM(_XLL.ONESTOP.REPORTPLAYER.OSRFUNCTIONS.OSRREF(D49))-SUM(_XLL.ONESTOP.REPORTPLAYER.OSRFUNCTIONS.OSRREF(D50))</f>
        <v>#NAME?</v>
      </c>
      <c r="E51" s="4" t="e">
        <f ca="1">SUM(_XLL.ONESTOP.REPORTPLAYER.OSRFUNCTIONS.OSRREF(E49))-SUM(_XLL.ONESTOP.REPORTPLAYER.OSRFUNCTIONS.OSRREF(E50))</f>
        <v>#NAME?</v>
      </c>
      <c r="F51" s="6" t="e">
        <f ca="1">SUM(_XLL.ONESTOP.REPORTPLAYER.OSRFUNCTIONS.OSRREF(F49))-SUM(_XLL.ONESTOP.REPORTPLAYER.OSRFUNCTIONS.OSRREF(F50))</f>
        <v>#NAME?</v>
      </c>
      <c r="G51" s="4" t="e">
        <f ca="1">SUM(_XLL.ONESTOP.REPORTPLAYER.OSRFUNCTIONS.OSRREF(G49))-SUM(_XLL.ONESTOP.REPORTPLAYER.OSRFUNCTIONS.OSRREF(G50))</f>
        <v>#NAME?</v>
      </c>
      <c r="H51" s="4" t="e">
        <f ca="1">SUM(_XLL.ONESTOP.REPORTPLAYER.OSRFUNCTIONS.OSRREF(H49))-SUM(_XLL.ONESTOP.REPORTPLAYER.OSRFUNCTIONS.OSRREF(H50))</f>
        <v>#NAME?</v>
      </c>
      <c r="I51" s="6" t="e">
        <f ca="1">SUM(_XLL.ONESTOP.REPORTPLAYER.OSRFUNCTIONS.OSRREF(I49))-SUM(_XLL.ONESTOP.REPORTPLAYER.OSRFUNCTIONS.OSRREF(I50))</f>
        <v>#NAME?</v>
      </c>
      <c r="J51" s="2"/>
      <c r="K51" s="2"/>
      <c r="L51" s="2"/>
      <c r="M51" s="2"/>
      <c r="N51" s="2"/>
      <c r="O51" s="2"/>
      <c r="P51" s="2"/>
      <c r="Q51" s="2"/>
      <c r="R51" s="2"/>
    </row>
    <row r="52" spans="2:9" s="29" customFormat="1" ht="6.6" customHeight="1" thickBot="1">
      <c r="B52" s="14"/>
      <c r="C52" s="14"/>
      <c r="D52" s="15"/>
      <c r="E52" s="15"/>
      <c r="F52" s="23"/>
      <c r="G52" s="16"/>
      <c r="H52" s="16"/>
      <c r="I52" s="26"/>
    </row>
    <row r="53" spans="2:18" s="29" customFormat="1" ht="21.6" customHeight="1" thickBot="1" thickTop="1">
      <c r="B53" s="45" t="s">
        <v>159</v>
      </c>
      <c r="C53" s="45"/>
      <c r="D53" s="32" t="e">
        <f aca="true" t="shared" si="18" ref="D53:E53">D47+D51</f>
        <v>#NAME?</v>
      </c>
      <c r="E53" s="32" t="e">
        <f ca="1" t="shared" si="18"/>
        <v>#NAME?</v>
      </c>
      <c r="F53" s="41">
        <f ca="1">_xlfn.IFERROR(D53-E53,0)</f>
        <v>0</v>
      </c>
      <c r="G53" s="32" t="e">
        <f aca="true" t="shared" si="19" ref="G53:H53">G47+G51</f>
        <v>#NAME?</v>
      </c>
      <c r="H53" s="32" t="e">
        <f ca="1" t="shared" si="19"/>
        <v>#NAME?</v>
      </c>
      <c r="I53" s="41">
        <f ca="1">_xlfn.IFERROR(G53-H53,0)</f>
        <v>0</v>
      </c>
      <c r="J53" s="2"/>
      <c r="K53" s="2"/>
      <c r="L53" s="2"/>
      <c r="M53" s="2"/>
      <c r="N53" s="2"/>
      <c r="O53" s="2"/>
      <c r="P53" s="2"/>
      <c r="Q53" s="2"/>
      <c r="R53" s="2"/>
    </row>
    <row r="54" ht="16.2" customHeight="1" thickTop="1"/>
    <row r="55" spans="2:18" s="38" customFormat="1" ht="15.6" customHeight="1">
      <c r="B55" s="50" t="s">
        <v>305</v>
      </c>
      <c r="C55" s="27"/>
      <c r="D55" s="25"/>
      <c r="E55" s="25"/>
      <c r="F55" s="25"/>
      <c r="G55" s="25"/>
      <c r="H55" s="25"/>
      <c r="J55" s="5"/>
      <c r="K55" s="5"/>
      <c r="L55" s="5"/>
      <c r="M55" s="5"/>
      <c r="N55" s="5"/>
      <c r="O55" s="5"/>
      <c r="P55" s="5"/>
      <c r="Q55" s="5"/>
      <c r="R55" s="5"/>
    </row>
    <row r="56" spans="2:8" s="38" customFormat="1" ht="6.6" customHeight="1">
      <c r="B56" s="19"/>
      <c r="C56" s="19"/>
      <c r="D56" s="28"/>
      <c r="E56" s="28"/>
      <c r="F56" s="28"/>
      <c r="G56" s="28"/>
      <c r="H56" s="55"/>
    </row>
    <row r="57" spans="2:18" s="38" customFormat="1" ht="21.6" customHeight="1">
      <c r="B57" s="53" t="s">
        <v>93</v>
      </c>
      <c r="C57" s="51"/>
      <c r="D57" s="21">
        <f aca="true" t="shared" si="20" ref="D57:E57">_xlfn.IFERROR(D19/D16,0)</f>
        <v>0</v>
      </c>
      <c r="E57" s="21">
        <f ca="1" t="shared" si="20"/>
        <v>0</v>
      </c>
      <c r="F57" s="21"/>
      <c r="G57" s="21">
        <f aca="true" t="shared" si="21" ref="G57:H57">_xlfn.IFERROR(G19/G16,0)</f>
        <v>0</v>
      </c>
      <c r="H57" s="21">
        <f ca="1" t="shared" si="21"/>
        <v>0</v>
      </c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2:18" s="38" customFormat="1" ht="21.6" customHeight="1">
      <c r="B58" s="53" t="s">
        <v>235</v>
      </c>
      <c r="C58" s="51"/>
      <c r="D58" s="21">
        <f aca="true" t="shared" si="22" ref="D58:E58">_xlfn.IFERROR((D41)/D16,0)</f>
        <v>0</v>
      </c>
      <c r="E58" s="21">
        <f ca="1" t="shared" si="22"/>
        <v>0</v>
      </c>
      <c r="F58" s="21"/>
      <c r="G58" s="21">
        <f aca="true" t="shared" si="23" ref="G58:H58">_xlfn.IFERROR((G41)/G16,0)</f>
        <v>0</v>
      </c>
      <c r="H58" s="21">
        <f ca="1" t="shared" si="23"/>
        <v>0</v>
      </c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2:18" s="38" customFormat="1" ht="21.6" customHeight="1">
      <c r="B59" s="53" t="s">
        <v>44</v>
      </c>
      <c r="C59" s="51"/>
      <c r="D59" s="21">
        <f aca="true" t="shared" si="24" ref="D59:E59">_xlfn.IFERROR(D53/D16,0)</f>
        <v>0</v>
      </c>
      <c r="E59" s="21">
        <f ca="1" t="shared" si="24"/>
        <v>0</v>
      </c>
      <c r="F59" s="21"/>
      <c r="G59" s="21">
        <f aca="true" t="shared" si="25" ref="G59:H59">_xlfn.IFERROR(G53/G16,0)</f>
        <v>0</v>
      </c>
      <c r="H59" s="21">
        <f ca="1" t="shared" si="25"/>
        <v>0</v>
      </c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2:18" s="38" customFormat="1" ht="6.6" customHeight="1">
      <c r="B60" s="53"/>
      <c r="C60" s="51"/>
      <c r="D60" s="21"/>
      <c r="E60" s="21"/>
      <c r="F60" s="21"/>
      <c r="G60" s="21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3" ht="15">
      <c r="B63" s="54" t="s">
        <v>236</v>
      </c>
    </row>
  </sheetData>
  <mergeCells count="4">
    <mergeCell ref="B6:C6"/>
    <mergeCell ref="H8:I8"/>
    <mergeCell ref="D10:E10"/>
    <mergeCell ref="G10:H10"/>
  </mergeCells>
  <printOptions/>
  <pageMargins left="0.7" right="0.7" top="0.75" bottom="0.75" header="0.3" footer="0.3"/>
  <pageSetup fitToHeight="1" fitToWidth="1" horizontalDpi="600" verticalDpi="600" orientation="landscape" scale="6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3"/>
  <sheetViews>
    <sheetView workbookViewId="0" topLeftCell="A1"/>
  </sheetViews>
  <sheetFormatPr defaultColWidth="8.8515625" defaultRowHeight="15"/>
  <cols>
    <col min="1" max="130" width="20.7109375" style="0" customWidth="1"/>
  </cols>
  <sheetData>
    <row r="1" ht="15">
      <c r="B1">
        <v>4</v>
      </c>
    </row>
    <row r="3" spans="1:130" ht="28.8">
      <c r="A3" s="1" t="s">
        <v>186</v>
      </c>
      <c r="B3" s="1" t="s">
        <v>215</v>
      </c>
      <c r="C3" s="1" t="s">
        <v>278</v>
      </c>
      <c r="D3" s="1" t="s">
        <v>94</v>
      </c>
      <c r="E3" s="1" t="s">
        <v>160</v>
      </c>
      <c r="F3" s="1" t="s">
        <v>0</v>
      </c>
      <c r="G3" s="1" t="s">
        <v>187</v>
      </c>
      <c r="H3" s="1" t="s">
        <v>45</v>
      </c>
      <c r="I3" s="1" t="s">
        <v>95</v>
      </c>
      <c r="J3" s="1" t="s">
        <v>237</v>
      </c>
      <c r="K3" s="1" t="s">
        <v>143</v>
      </c>
      <c r="L3" s="1" t="s">
        <v>238</v>
      </c>
      <c r="M3" s="1" t="s">
        <v>68</v>
      </c>
      <c r="N3" s="1" t="s">
        <v>69</v>
      </c>
      <c r="O3" s="1" t="s">
        <v>188</v>
      </c>
      <c r="P3" s="1" t="s">
        <v>216</v>
      </c>
      <c r="Q3" s="1" t="s">
        <v>1</v>
      </c>
      <c r="R3" s="1" t="s">
        <v>2</v>
      </c>
      <c r="S3" s="1" t="s">
        <v>46</v>
      </c>
      <c r="T3" s="1" t="s">
        <v>239</v>
      </c>
      <c r="U3" s="1" t="s">
        <v>306</v>
      </c>
      <c r="V3" s="1" t="s">
        <v>327</v>
      </c>
      <c r="W3" s="1" t="s">
        <v>189</v>
      </c>
      <c r="X3" s="1" t="s">
        <v>307</v>
      </c>
      <c r="Y3" s="1" t="s">
        <v>96</v>
      </c>
      <c r="Z3" s="1" t="s">
        <v>279</v>
      </c>
      <c r="AA3" s="1" t="s">
        <v>161</v>
      </c>
      <c r="AB3" s="1" t="s">
        <v>308</v>
      </c>
      <c r="AC3" s="1" t="s">
        <v>3</v>
      </c>
      <c r="AD3" s="1" t="s">
        <v>97</v>
      </c>
      <c r="AE3" s="1" t="s">
        <v>162</v>
      </c>
      <c r="AF3" s="1" t="s">
        <v>98</v>
      </c>
      <c r="AG3" s="1" t="s">
        <v>217</v>
      </c>
      <c r="AH3" s="1" t="s">
        <v>20</v>
      </c>
      <c r="AI3" s="1" t="s">
        <v>309</v>
      </c>
      <c r="AJ3" s="1" t="s">
        <v>310</v>
      </c>
      <c r="AK3" s="1" t="s">
        <v>70</v>
      </c>
      <c r="AL3" s="1" t="s">
        <v>280</v>
      </c>
      <c r="AM3" s="1" t="s">
        <v>281</v>
      </c>
      <c r="AN3" s="1" t="s">
        <v>257</v>
      </c>
      <c r="AO3" s="1" t="s">
        <v>344</v>
      </c>
      <c r="AP3" s="1" t="s">
        <v>345</v>
      </c>
      <c r="AQ3" s="1" t="s">
        <v>124</v>
      </c>
      <c r="AR3" s="1" t="s">
        <v>190</v>
      </c>
      <c r="AS3" s="1" t="s">
        <v>258</v>
      </c>
      <c r="AT3" s="1" t="s">
        <v>311</v>
      </c>
      <c r="AU3" s="1" t="s">
        <v>240</v>
      </c>
      <c r="AV3" s="1" t="s">
        <v>125</v>
      </c>
      <c r="AW3" s="1" t="s">
        <v>99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L3"/>
  <sheetViews>
    <sheetView workbookViewId="0" topLeftCell="A1"/>
  </sheetViews>
  <sheetFormatPr defaultColWidth="8.8515625" defaultRowHeight="15"/>
  <cols>
    <col min="1" max="218" width="20.7109375" style="0" customWidth="1"/>
  </cols>
  <sheetData>
    <row r="1" ht="15">
      <c r="D1">
        <v>4</v>
      </c>
    </row>
    <row r="2" spans="271:272" ht="15">
      <c r="JK2">
        <v>271</v>
      </c>
      <c r="JL2">
        <v>4</v>
      </c>
    </row>
    <row r="3" spans="1:272" ht="28.8">
      <c r="A3" s="1" t="s">
        <v>278</v>
      </c>
      <c r="B3" s="1" t="s">
        <v>346</v>
      </c>
      <c r="C3" s="1" t="s">
        <v>0</v>
      </c>
      <c r="D3" s="1" t="s">
        <v>71</v>
      </c>
      <c r="E3" s="1" t="s">
        <v>100</v>
      </c>
      <c r="F3" s="1" t="s">
        <v>21</v>
      </c>
      <c r="G3" s="1" t="s">
        <v>144</v>
      </c>
      <c r="H3" s="1" t="s">
        <v>191</v>
      </c>
      <c r="I3" s="1" t="s">
        <v>126</v>
      </c>
      <c r="J3" s="1" t="s">
        <v>282</v>
      </c>
      <c r="K3" s="1" t="s">
        <v>145</v>
      </c>
      <c r="L3" s="1" t="s">
        <v>22</v>
      </c>
      <c r="M3" s="1" t="s">
        <v>72</v>
      </c>
      <c r="N3" s="1" t="s">
        <v>47</v>
      </c>
      <c r="O3" s="1" t="s">
        <v>73</v>
      </c>
      <c r="P3" s="1" t="s">
        <v>192</v>
      </c>
      <c r="Q3" s="1" t="s">
        <v>23</v>
      </c>
      <c r="R3" s="1" t="s">
        <v>218</v>
      </c>
      <c r="S3" s="1" t="s">
        <v>219</v>
      </c>
      <c r="T3" s="1" t="s">
        <v>241</v>
      </c>
      <c r="U3" s="1" t="s">
        <v>24</v>
      </c>
      <c r="V3" s="1" t="s">
        <v>283</v>
      </c>
      <c r="W3" s="1" t="s">
        <v>312</v>
      </c>
      <c r="X3" s="1" t="s">
        <v>242</v>
      </c>
      <c r="Y3" s="1" t="s">
        <v>220</v>
      </c>
      <c r="Z3" s="1" t="s">
        <v>4</v>
      </c>
      <c r="AA3" s="1" t="s">
        <v>328</v>
      </c>
      <c r="AB3" s="1" t="s">
        <v>146</v>
      </c>
      <c r="AC3" s="1" t="s">
        <v>127</v>
      </c>
      <c r="AD3" s="1" t="s">
        <v>48</v>
      </c>
      <c r="AE3" s="1" t="s">
        <v>101</v>
      </c>
      <c r="AF3" s="1" t="s">
        <v>49</v>
      </c>
      <c r="AG3" s="1" t="s">
        <v>259</v>
      </c>
      <c r="AH3" s="1" t="s">
        <v>193</v>
      </c>
      <c r="AI3" s="1" t="s">
        <v>243</v>
      </c>
      <c r="AJ3" s="1" t="s">
        <v>74</v>
      </c>
      <c r="AK3" s="1" t="s">
        <v>147</v>
      </c>
      <c r="AL3" s="1" t="s">
        <v>347</v>
      </c>
      <c r="AM3" s="1" t="s">
        <v>244</v>
      </c>
      <c r="AN3" s="1" t="s">
        <v>75</v>
      </c>
      <c r="AO3" s="1" t="s">
        <v>25</v>
      </c>
      <c r="AP3" s="1" t="s">
        <v>245</v>
      </c>
      <c r="AQ3" s="1" t="s">
        <v>76</v>
      </c>
      <c r="AR3" s="1" t="s">
        <v>313</v>
      </c>
      <c r="AS3" s="1" t="s">
        <v>260</v>
      </c>
      <c r="AT3" s="1" t="s">
        <v>5</v>
      </c>
      <c r="AU3" s="1" t="s">
        <v>329</v>
      </c>
      <c r="AV3" s="1" t="s">
        <v>163</v>
      </c>
      <c r="AW3" s="1" t="s">
        <v>6</v>
      </c>
      <c r="AX3" s="1" t="s">
        <v>102</v>
      </c>
      <c r="AY3" s="1" t="s">
        <v>348</v>
      </c>
      <c r="AZ3" s="1" t="s">
        <v>77</v>
      </c>
      <c r="BA3" s="1" t="s">
        <v>261</v>
      </c>
      <c r="BB3" s="1" t="s">
        <v>78</v>
      </c>
      <c r="BC3" s="1" t="s">
        <v>284</v>
      </c>
      <c r="BD3" s="1" t="s">
        <v>330</v>
      </c>
      <c r="BE3" s="1" t="s">
        <v>164</v>
      </c>
      <c r="BF3" s="1" t="s">
        <v>349</v>
      </c>
      <c r="BG3" s="1" t="s">
        <v>128</v>
      </c>
      <c r="BH3" s="1" t="s">
        <v>129</v>
      </c>
      <c r="BI3" s="1" t="s">
        <v>285</v>
      </c>
      <c r="BJ3" s="1" t="s">
        <v>262</v>
      </c>
      <c r="BK3" s="1" t="s">
        <v>79</v>
      </c>
      <c r="BL3" s="1" t="s">
        <v>194</v>
      </c>
      <c r="BM3" s="1" t="s">
        <v>331</v>
      </c>
      <c r="BN3" s="1" t="s">
        <v>263</v>
      </c>
      <c r="BO3" s="1" t="s">
        <v>350</v>
      </c>
      <c r="BP3" s="1" t="s">
        <v>165</v>
      </c>
      <c r="BQ3" s="1" t="s">
        <v>264</v>
      </c>
      <c r="BR3" s="1" t="s">
        <v>148</v>
      </c>
      <c r="BS3" s="1" t="s">
        <v>246</v>
      </c>
      <c r="BT3" s="1" t="s">
        <v>80</v>
      </c>
      <c r="BU3" s="1" t="s">
        <v>265</v>
      </c>
      <c r="BV3" s="1" t="s">
        <v>314</v>
      </c>
      <c r="BW3" s="1" t="s">
        <v>351</v>
      </c>
      <c r="BX3" s="1" t="s">
        <v>195</v>
      </c>
      <c r="BY3" s="1" t="s">
        <v>332</v>
      </c>
      <c r="BZ3" s="1" t="s">
        <v>166</v>
      </c>
      <c r="CA3" s="1" t="s">
        <v>7</v>
      </c>
      <c r="CB3" s="1" t="s">
        <v>130</v>
      </c>
      <c r="CC3" s="1" t="s">
        <v>247</v>
      </c>
      <c r="CD3" s="1" t="s">
        <v>50</v>
      </c>
      <c r="CE3" s="1" t="s">
        <v>266</v>
      </c>
      <c r="CF3" s="1" t="s">
        <v>51</v>
      </c>
      <c r="CG3" s="1" t="s">
        <v>333</v>
      </c>
      <c r="CH3" s="1" t="s">
        <v>221</v>
      </c>
      <c r="CI3" s="1" t="s">
        <v>149</v>
      </c>
      <c r="CJ3" s="1" t="s">
        <v>352</v>
      </c>
      <c r="CK3" s="1" t="s">
        <v>131</v>
      </c>
      <c r="CL3" s="1" t="s">
        <v>167</v>
      </c>
      <c r="CM3" s="1" t="s">
        <v>168</v>
      </c>
      <c r="CN3" s="1" t="s">
        <v>248</v>
      </c>
      <c r="CO3" s="1" t="s">
        <v>103</v>
      </c>
      <c r="CP3" s="1" t="s">
        <v>196</v>
      </c>
      <c r="CQ3" s="1" t="s">
        <v>353</v>
      </c>
      <c r="CR3" s="1" t="s">
        <v>150</v>
      </c>
      <c r="CS3" s="1" t="s">
        <v>334</v>
      </c>
      <c r="CT3" s="1" t="s">
        <v>197</v>
      </c>
      <c r="CU3" s="1" t="s">
        <v>267</v>
      </c>
      <c r="CV3" s="1" t="s">
        <v>198</v>
      </c>
      <c r="CW3" s="1" t="s">
        <v>132</v>
      </c>
      <c r="CX3" s="1" t="s">
        <v>52</v>
      </c>
      <c r="CY3" s="1" t="s">
        <v>286</v>
      </c>
      <c r="CZ3" s="1" t="s">
        <v>315</v>
      </c>
      <c r="DA3" s="1" t="s">
        <v>8</v>
      </c>
      <c r="DB3" s="1" t="s">
        <v>104</v>
      </c>
      <c r="DC3" s="1" t="s">
        <v>169</v>
      </c>
      <c r="DD3" s="1" t="s">
        <v>9</v>
      </c>
      <c r="DE3" s="1" t="s">
        <v>10</v>
      </c>
      <c r="DF3" s="1" t="s">
        <v>222</v>
      </c>
      <c r="DG3" s="1" t="s">
        <v>53</v>
      </c>
      <c r="DH3" s="1" t="s">
        <v>268</v>
      </c>
      <c r="DI3" s="1" t="s">
        <v>105</v>
      </c>
      <c r="DJ3" s="1" t="s">
        <v>81</v>
      </c>
      <c r="DK3" s="1" t="s">
        <v>26</v>
      </c>
      <c r="DL3" s="1" t="s">
        <v>27</v>
      </c>
      <c r="DM3" s="1" t="s">
        <v>354</v>
      </c>
      <c r="DN3" s="1" t="s">
        <v>199</v>
      </c>
      <c r="DO3" s="1" t="s">
        <v>151</v>
      </c>
      <c r="DP3" s="1" t="s">
        <v>249</v>
      </c>
      <c r="DQ3" s="1" t="s">
        <v>11</v>
      </c>
      <c r="DR3" s="1" t="s">
        <v>82</v>
      </c>
      <c r="DS3" s="1" t="s">
        <v>287</v>
      </c>
      <c r="DT3" s="1" t="s">
        <v>200</v>
      </c>
      <c r="DU3" s="1" t="s">
        <v>83</v>
      </c>
      <c r="DV3" s="1" t="s">
        <v>355</v>
      </c>
      <c r="DW3" s="1" t="s">
        <v>201</v>
      </c>
      <c r="DX3" s="1" t="s">
        <v>170</v>
      </c>
      <c r="DY3" s="1" t="s">
        <v>28</v>
      </c>
      <c r="DZ3" s="1" t="s">
        <v>29</v>
      </c>
      <c r="EA3" s="1" t="s">
        <v>54</v>
      </c>
      <c r="EB3" s="1" t="s">
        <v>288</v>
      </c>
      <c r="EC3" s="1" t="s">
        <v>269</v>
      </c>
      <c r="ED3" s="1" t="s">
        <v>106</v>
      </c>
      <c r="EE3" s="1" t="s">
        <v>223</v>
      </c>
      <c r="EF3" s="1" t="s">
        <v>30</v>
      </c>
      <c r="EG3" s="1" t="s">
        <v>12</v>
      </c>
      <c r="EH3" s="1" t="s">
        <v>356</v>
      </c>
      <c r="EI3" s="1" t="s">
        <v>171</v>
      </c>
      <c r="EJ3" s="1" t="s">
        <v>55</v>
      </c>
      <c r="EK3" s="1" t="s">
        <v>13</v>
      </c>
      <c r="EL3" s="1" t="s">
        <v>107</v>
      </c>
      <c r="EM3" s="1" t="s">
        <v>84</v>
      </c>
      <c r="EN3" s="1" t="s">
        <v>250</v>
      </c>
      <c r="EO3" s="1" t="s">
        <v>270</v>
      </c>
      <c r="EP3" s="1" t="s">
        <v>335</v>
      </c>
      <c r="EQ3" s="1" t="s">
        <v>202</v>
      </c>
      <c r="ER3" s="1" t="s">
        <v>172</v>
      </c>
      <c r="ES3" s="1" t="s">
        <v>289</v>
      </c>
      <c r="ET3" s="1" t="s">
        <v>85</v>
      </c>
      <c r="EU3" s="1" t="s">
        <v>316</v>
      </c>
      <c r="EV3" s="1" t="s">
        <v>317</v>
      </c>
      <c r="EW3" s="1" t="s">
        <v>271</v>
      </c>
      <c r="EX3" s="1" t="s">
        <v>357</v>
      </c>
      <c r="EY3" s="1" t="s">
        <v>290</v>
      </c>
      <c r="EZ3" s="1" t="s">
        <v>291</v>
      </c>
      <c r="FA3" s="1" t="s">
        <v>31</v>
      </c>
      <c r="FB3" s="1" t="s">
        <v>358</v>
      </c>
      <c r="FC3" s="1" t="s">
        <v>56</v>
      </c>
      <c r="FD3" s="1" t="s">
        <v>108</v>
      </c>
      <c r="FE3" s="1" t="s">
        <v>272</v>
      </c>
      <c r="FF3" s="1" t="s">
        <v>133</v>
      </c>
      <c r="FG3" s="1" t="s">
        <v>109</v>
      </c>
      <c r="FH3" s="1" t="s">
        <v>110</v>
      </c>
      <c r="FI3" s="1" t="s">
        <v>318</v>
      </c>
      <c r="FJ3" s="1" t="s">
        <v>224</v>
      </c>
      <c r="FK3" s="1" t="s">
        <v>225</v>
      </c>
      <c r="FL3" s="1" t="s">
        <v>203</v>
      </c>
      <c r="FM3" s="1" t="s">
        <v>173</v>
      </c>
      <c r="FN3" s="1" t="s">
        <v>134</v>
      </c>
      <c r="FO3" s="1" t="s">
        <v>204</v>
      </c>
      <c r="FP3" s="1" t="s">
        <v>319</v>
      </c>
      <c r="FQ3" s="1" t="s">
        <v>292</v>
      </c>
      <c r="FR3" s="1" t="s">
        <v>251</v>
      </c>
      <c r="FS3" s="1" t="s">
        <v>336</v>
      </c>
      <c r="FT3" s="1" t="s">
        <v>174</v>
      </c>
      <c r="FU3" s="1" t="s">
        <v>14</v>
      </c>
      <c r="FV3" s="1" t="s">
        <v>226</v>
      </c>
      <c r="FW3" s="1" t="s">
        <v>111</v>
      </c>
      <c r="FX3" s="1" t="s">
        <v>175</v>
      </c>
      <c r="FY3" s="1" t="s">
        <v>205</v>
      </c>
      <c r="FZ3" s="1" t="s">
        <v>112</v>
      </c>
      <c r="GA3" s="1" t="s">
        <v>320</v>
      </c>
      <c r="GB3" s="1" t="s">
        <v>32</v>
      </c>
      <c r="GC3" s="1" t="s">
        <v>33</v>
      </c>
      <c r="GD3" s="1" t="s">
        <v>337</v>
      </c>
      <c r="GE3" s="1" t="s">
        <v>135</v>
      </c>
      <c r="GF3" s="1" t="s">
        <v>273</v>
      </c>
      <c r="GG3" s="1" t="s">
        <v>227</v>
      </c>
      <c r="GH3" s="1" t="s">
        <v>228</v>
      </c>
      <c r="GI3" s="1" t="s">
        <v>321</v>
      </c>
      <c r="GJ3" s="1" t="s">
        <v>152</v>
      </c>
      <c r="GK3" s="1" t="s">
        <v>34</v>
      </c>
      <c r="GL3" s="1" t="s">
        <v>86</v>
      </c>
      <c r="GM3" s="1" t="s">
        <v>136</v>
      </c>
      <c r="GN3" s="1" t="s">
        <v>15</v>
      </c>
      <c r="GO3" s="1" t="s">
        <v>359</v>
      </c>
      <c r="GP3" s="1" t="s">
        <v>252</v>
      </c>
      <c r="GQ3" s="1" t="s">
        <v>87</v>
      </c>
      <c r="GR3" s="1" t="s">
        <v>206</v>
      </c>
      <c r="GS3" s="1" t="s">
        <v>176</v>
      </c>
      <c r="GT3" s="1" t="s">
        <v>137</v>
      </c>
      <c r="GU3" s="1" t="s">
        <v>293</v>
      </c>
      <c r="GV3" s="1" t="s">
        <v>57</v>
      </c>
      <c r="GW3" s="1" t="s">
        <v>16</v>
      </c>
      <c r="GX3" s="1" t="s">
        <v>360</v>
      </c>
      <c r="GY3" s="1" t="s">
        <v>113</v>
      </c>
      <c r="GZ3" s="1" t="s">
        <v>322</v>
      </c>
      <c r="HA3" s="1" t="s">
        <v>207</v>
      </c>
      <c r="HB3" s="1" t="s">
        <v>253</v>
      </c>
      <c r="HC3" s="1" t="s">
        <v>294</v>
      </c>
      <c r="HD3" s="1" t="s">
        <v>177</v>
      </c>
      <c r="HE3" s="1" t="s">
        <v>17</v>
      </c>
      <c r="HF3" s="1" t="s">
        <v>114</v>
      </c>
      <c r="HG3" s="1" t="s">
        <v>115</v>
      </c>
      <c r="HH3" s="1" t="s">
        <v>58</v>
      </c>
      <c r="HI3" s="1" t="s">
        <v>138</v>
      </c>
      <c r="HJ3" s="1" t="s">
        <v>323</v>
      </c>
      <c r="JK3" s="1" t="s">
        <v>18</v>
      </c>
      <c r="JL3" s="1" t="s">
        <v>178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Skeie</dc:creator>
  <cp:keywords/>
  <dc:description/>
  <cp:lastModifiedBy>Knut Skeie</cp:lastModifiedBy>
  <dcterms:created xsi:type="dcterms:W3CDTF">2023-02-15T08:40:06Z</dcterms:created>
  <dcterms:modified xsi:type="dcterms:W3CDTF">2023-02-15T08:40:06Z</dcterms:modified>
  <cp:category/>
  <cp:version/>
  <cp:contentType/>
  <cp:contentStatus/>
</cp:coreProperties>
</file>