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bookViews>
    <workbookView xWindow="0" yWindow="0" windowWidth="18165" windowHeight="9630" tabRatio="753" firstSheet="2" activeTab="2"/>
  </bookViews>
  <sheets>
    <sheet name="Statussamtale" sheetId="18" r:id="rId1"/>
    <sheet name="Endring nøkkeltall" sheetId="124" r:id="rId2"/>
    <sheet name="Regnskapsrapport" sheetId="118" r:id="rId3"/>
    <sheet name="Sammenstilling" sheetId="28" state="hidden" r:id="rId4"/>
    <sheet name="Kostnader" sheetId="127" r:id="rId5"/>
    <sheet name="517 Kopervik bensin og storkio" sheetId="126" r:id="rId6"/>
    <sheet name="Saldo" sheetId="2" r:id="rId7"/>
    <sheet name="Firma" sheetId="22" state="hidden" r:id="rId8"/>
    <sheet name="Enheter" sheetId="15" state="hidden" r:id="rId9"/>
  </sheets>
  <definedNames>
    <definedName name="_xlnm._FilterDatabase" localSheetId="6" hidden="1">'Saldo'!$A$4:$AW$4</definedName>
    <definedName name="A" localSheetId="1">'Endring nøkkeltall'!$A:$A</definedName>
    <definedName name="A" localSheetId="2">'Regnskapsrapport'!$A:$A</definedName>
    <definedName name="Ac">'Saldo'!$A:$A</definedName>
    <definedName name="AcGr3">'Saldo'!$N:$N</definedName>
    <definedName name="AcNm">'Saldo'!$B:$B</definedName>
    <definedName name="B" localSheetId="1">'Endring nøkkeltall'!$B:$B</definedName>
    <definedName name="BudgetReport">'Firma'!$B$10</definedName>
    <definedName name="Cmp">#REF!</definedName>
    <definedName name="Comparison">'Firma'!$B$9</definedName>
    <definedName name="Enhet" localSheetId="1">'Endring nøkkeltall'!$D$2</definedName>
    <definedName name="Enhet" localSheetId="2">'Regnskapsrapport'!$C$1</definedName>
    <definedName name="Enheter">'Enheter'!$A$1</definedName>
    <definedName name="Enhetermatrise">'Enheter'!$A:$B</definedName>
    <definedName name="Epostadresse">'Firma'!$B$20</definedName>
    <definedName name="F">#REF!</definedName>
    <definedName name="Firma">'Firma'!$B$14</definedName>
    <definedName name="Firmanavn">'Firma'!$B$15</definedName>
    <definedName name="FrDt">'Firma'!$B$7</definedName>
    <definedName name="FrPr">'Firma'!$B$5</definedName>
    <definedName name="I">"Inventory"</definedName>
    <definedName name="InvDt">'Saldo'!$L:$L</definedName>
    <definedName name="LPrBal">'Saldo'!$E:$E</definedName>
    <definedName name="LTM">'Saldo'!$M:$M</definedName>
    <definedName name="LYrBal">'Saldo'!$H:$H</definedName>
    <definedName name="OB">'Saldo'!$I:$I</definedName>
    <definedName name="OmsPr" localSheetId="5">'517 Kopervik bensin og storkio'!$F$4:$Z$136</definedName>
    <definedName name="OmsYtd" localSheetId="5">'517 Kopervik bensin og storkio'!$AF$4:$AZ$136</definedName>
    <definedName name="OpYrBal">'Saldo'!$I:$I</definedName>
    <definedName name="P">"Purchase"</definedName>
    <definedName name="Periode">'Saldo'!$C$2</definedName>
    <definedName name="PrB">'Saldo'!$D:$D</definedName>
    <definedName name="PrBal">'Saldo'!$C:$C</definedName>
    <definedName name="PrBgt">'Saldo'!$D:$D</definedName>
    <definedName name="PrC">IF(LEFT(Comparison,1)="B",PrB,PrL)</definedName>
    <definedName name="PrL">'Saldo'!$E:$E</definedName>
    <definedName name="Prod">'Saldo'!$J:$J</definedName>
    <definedName name="ProdGr1">'Saldo'!$P:$P</definedName>
    <definedName name="ProdGr2">'Saldo'!$R:$R</definedName>
    <definedName name="ProdGr3">'Saldo'!$T:$T</definedName>
    <definedName name="PrT">'Saldo'!$C:$C</definedName>
    <definedName name="QA_01_value">'Statussamtale'!$H$9</definedName>
    <definedName name="QA_02_value">'Statussamtale'!$H$10</definedName>
    <definedName name="QA_03_value">'Statussamtale'!$H$11</definedName>
    <definedName name="QA_04_value">'Statussamtale'!$H$12</definedName>
    <definedName name="QA_05_value">'Statussamtale'!$H$13</definedName>
    <definedName name="QA_06_value">'Statussamtale'!$H$14</definedName>
    <definedName name="QA_07_value">'Statussamtale'!$H$15</definedName>
    <definedName name="Ref">'Saldo'!$X:$X</definedName>
    <definedName name="RefB2" localSheetId="2">'Regnskapsrapport'!$A:$A</definedName>
    <definedName name="ResPr" localSheetId="5">'517 Kopervik bensin og storkio'!$F$148:$I$190</definedName>
    <definedName name="ResYtd" localSheetId="5">'517 Kopervik bensin og storkio'!$AF$148:$AI$190</definedName>
    <definedName name="S">"Sales"</definedName>
    <definedName name="SalgHittil" localSheetId="2">SUMIF(Ref,[0]!S&amp;REFS,YrBal)</definedName>
    <definedName name="Site">'Saldo'!$K:$K</definedName>
    <definedName name="Sites">'Firma'!$D$5:$E$23</definedName>
    <definedName name="TESTkapital" localSheetId="2">'Regnskapsrapport'!$N$60:$O$60</definedName>
    <definedName name="ToDt">'Firma'!$B$8</definedName>
    <definedName name="ToPr">'Firma'!$B$6</definedName>
    <definedName name="U" localSheetId="5">'517 Kopervik bensin og storkio'!$A$1</definedName>
    <definedName name="U" localSheetId="1">'Endring nøkkeltall'!$A$1</definedName>
    <definedName name="U" localSheetId="2">'Regnskapsrapport'!$A$1</definedName>
    <definedName name="U" localSheetId="3">'Sammenstilling'!$1:$1</definedName>
    <definedName name="UNm" localSheetId="5">'517 Kopervik bensin og storkio'!$F$1</definedName>
    <definedName name="UNm" localSheetId="3">'Sammenstilling'!$C$1</definedName>
    <definedName name="_xlnm.Print_Area" localSheetId="1">'Endring nøkkeltall'!$D$1:$J$46</definedName>
    <definedName name="_xlnm.Print_Area" localSheetId="2">'Regnskapsrapport'!$B$1:$Q$96</definedName>
    <definedName name="_xlnm.Print_Area" localSheetId="6">'Saldo'!$A:$K</definedName>
    <definedName name="_xlnm.Print_Area" localSheetId="3">'Sammenstilling'!$B:$D</definedName>
    <definedName name="V">"Volume"</definedName>
    <definedName name="VolPr" localSheetId="5">'517 Kopervik bensin og storkio'!$F$137:$R$146</definedName>
    <definedName name="VolYtd" localSheetId="5">'517 Kopervik bensin og storkio'!$AF$137:$AR$146</definedName>
    <definedName name="W">"Waste"</definedName>
    <definedName name="YrBal">'Saldo'!$F:$F</definedName>
    <definedName name="YrBgt">'Saldo'!$G:$G</definedName>
    <definedName name="YTD" localSheetId="3">'Sammenstilling'!$53:$103</definedName>
    <definedName name="YtdB">'Saldo'!$G:$G</definedName>
    <definedName name="YtdC">IF(LEFT(Comparison,1)="B",YtdB,YtdL)</definedName>
    <definedName name="YtdL">'Saldo'!$H:$H</definedName>
    <definedName name="YtdT">'Saldo'!$F:$F</definedName>
    <definedName name="_xlnm.Print_Titles" localSheetId="2">'Regnskapsrapport'!$1:$3</definedName>
    <definedName name="_xlnm.Print_Titles" localSheetId="6">'Saldo'!$1:$4</definedName>
  </definedNames>
  <calcPr calcId="162913"/>
  <pivotCaches>
    <pivotCache cacheId="5" r:id="rId10"/>
  </pivotCaches>
</workbook>
</file>

<file path=xl/sharedStrings.xml><?xml version="1.0" encoding="utf-8"?>
<sst xmlns="http://schemas.openxmlformats.org/spreadsheetml/2006/main" count="8175" uniqueCount="1713">
  <si>
    <t>Lønn Faste</t>
  </si>
  <si>
    <t>Vedlikehold Vaskemaskin</t>
  </si>
  <si>
    <t>Vedlikehold &amp; rep annet</t>
  </si>
  <si>
    <t>Regnskapshonorar</t>
  </si>
  <si>
    <t>Kontonavn</t>
  </si>
  <si>
    <t>Saldoliste</t>
  </si>
  <si>
    <t>Inngående balanse</t>
  </si>
  <si>
    <t>Konto</t>
  </si>
  <si>
    <t>I fjor perioden</t>
  </si>
  <si>
    <t>I fjor hittil</t>
  </si>
  <si>
    <t>Kontogruppe</t>
  </si>
  <si>
    <t>Rapport</t>
  </si>
  <si>
    <t>Variabler</t>
  </si>
  <si>
    <t xml:space="preserve">Fra periode </t>
  </si>
  <si>
    <t>Til periode</t>
  </si>
  <si>
    <t>Tid</t>
  </si>
  <si>
    <t>Bruker</t>
  </si>
  <si>
    <t>VBsys</t>
  </si>
  <si>
    <t>Firma</t>
  </si>
  <si>
    <t>Navn</t>
  </si>
  <si>
    <t>300K_SALGSINNTEKT</t>
  </si>
  <si>
    <t>Adresselinje 1</t>
  </si>
  <si>
    <t>Adresselinje 2</t>
  </si>
  <si>
    <t xml:space="preserve"> </t>
  </si>
  <si>
    <t>Adresselinje 3</t>
  </si>
  <si>
    <t>*</t>
  </si>
  <si>
    <t>500K_LØNNSKOSTNAD</t>
  </si>
  <si>
    <t>Adresselinje 4</t>
  </si>
  <si>
    <t>E-postadresse</t>
  </si>
  <si>
    <t>Postnr</t>
  </si>
  <si>
    <t>Poststed</t>
  </si>
  <si>
    <t>PDF-sti</t>
  </si>
  <si>
    <t>Arbeidsgiveravgift</t>
  </si>
  <si>
    <t>Telefon</t>
  </si>
  <si>
    <t>140K_VARER</t>
  </si>
  <si>
    <t>Bank</t>
  </si>
  <si>
    <t>Utg. mva, høy sats</t>
  </si>
  <si>
    <t>400K_VAREKOSTNAD</t>
  </si>
  <si>
    <t>Tall i 1000 kr</t>
  </si>
  <si>
    <t>Avvik</t>
  </si>
  <si>
    <t>Eiendeler</t>
  </si>
  <si>
    <t>Utsatt skattefordel</t>
  </si>
  <si>
    <t>Anleggsmidler</t>
  </si>
  <si>
    <t>Beregnet avskrivning</t>
  </si>
  <si>
    <t>Langsiktige fordringer</t>
  </si>
  <si>
    <t>Sum anleggsmidler</t>
  </si>
  <si>
    <t>Kundefordringer</t>
  </si>
  <si>
    <t>Kortfordringer</t>
  </si>
  <si>
    <t>Andre kortsiktige eiendeler</t>
  </si>
  <si>
    <t>Renhold-renovasj</t>
  </si>
  <si>
    <t>Leie driftsmidler</t>
  </si>
  <si>
    <t>Kasse</t>
  </si>
  <si>
    <t>Sum omløpsmidler</t>
  </si>
  <si>
    <t>Utstyr &amp; verktøy</t>
  </si>
  <si>
    <t>Forbruksmateriell</t>
  </si>
  <si>
    <t>Rep &amp; vedlikehold</t>
  </si>
  <si>
    <t>Gjeld og Egenkapital</t>
  </si>
  <si>
    <t>Data &amp; kortsystem</t>
  </si>
  <si>
    <t>Fremmedtj &amp; vakth</t>
  </si>
  <si>
    <t>Utsatt skatt</t>
  </si>
  <si>
    <t>Kontorrekvisita</t>
  </si>
  <si>
    <t>Langsiktig gjeld</t>
  </si>
  <si>
    <t>Leverandørgjeld</t>
  </si>
  <si>
    <t>Reise-møter-kurs</t>
  </si>
  <si>
    <t>Reklame</t>
  </si>
  <si>
    <t>Diverse</t>
  </si>
  <si>
    <t>Skyld.Skatt/arb.g.avg</t>
  </si>
  <si>
    <t>Forsikringer</t>
  </si>
  <si>
    <t>Merverdiavgift</t>
  </si>
  <si>
    <t>Erstatn - tyveri</t>
  </si>
  <si>
    <t>Skyld.Feriepenger</t>
  </si>
  <si>
    <t>Bank &amp; kortprov</t>
  </si>
  <si>
    <t>Skyld. Renter</t>
  </si>
  <si>
    <t>Avskrivninger</t>
  </si>
  <si>
    <t>Skyld. Strøm/vannavg</t>
  </si>
  <si>
    <t>Skyld. Annet</t>
  </si>
  <si>
    <t>Skattegjeld</t>
  </si>
  <si>
    <t>Fin. inntekter</t>
  </si>
  <si>
    <t>Annen kortsiktig gjeld</t>
  </si>
  <si>
    <t>Fin. utgifter</t>
  </si>
  <si>
    <t>Sum kortsiktig gjeld</t>
  </si>
  <si>
    <t>Lager</t>
  </si>
  <si>
    <t>Salg</t>
  </si>
  <si>
    <t>Ref</t>
  </si>
  <si>
    <t>RESULTATANALYSE</t>
  </si>
  <si>
    <t>Avvik i kr</t>
  </si>
  <si>
    <t>Personalkostnad</t>
  </si>
  <si>
    <t>Andre kostnader</t>
  </si>
  <si>
    <t>RESULTAT</t>
  </si>
  <si>
    <t>Balanse</t>
  </si>
  <si>
    <t>Endring</t>
  </si>
  <si>
    <t>Leverandørgjeld franchisegiver</t>
  </si>
  <si>
    <t>150K_KUNDEFORDRINGER</t>
  </si>
  <si>
    <t>240K_LEVERANDØRGJELD</t>
  </si>
  <si>
    <t>Ing. mva, høy sats</t>
  </si>
  <si>
    <t>Oppgjørskonto mva.</t>
  </si>
  <si>
    <t>Kortsiktig gjeld</t>
  </si>
  <si>
    <t>Renhold</t>
  </si>
  <si>
    <t>Småanskaffelser inventar</t>
  </si>
  <si>
    <t>Revisjonshonorar</t>
  </si>
  <si>
    <t>Bankomkostninger</t>
  </si>
  <si>
    <t>Øredifferanser</t>
  </si>
  <si>
    <t>Korttransaksjoner</t>
  </si>
  <si>
    <t>Aksjekapital</t>
  </si>
  <si>
    <t>200K_SELSKAPSKAPITAL</t>
  </si>
  <si>
    <t>Utg. mva, middel sats</t>
  </si>
  <si>
    <t>Ing. Mva. middel sats</t>
  </si>
  <si>
    <t>Påløpte feriepenger</t>
  </si>
  <si>
    <t>Andre personal</t>
  </si>
  <si>
    <t>Feriepenger</t>
  </si>
  <si>
    <t>Arbeidsgiveravgift avsatte feriepenger</t>
  </si>
  <si>
    <t>Andre personalkostnader</t>
  </si>
  <si>
    <t>Arbeidstøy innkjøp</t>
  </si>
  <si>
    <t>OTP tjenestepensjon</t>
  </si>
  <si>
    <t>Leasing vaskemaskin</t>
  </si>
  <si>
    <t>Driftsmatriell stasjon</t>
  </si>
  <si>
    <t>Vakttjenester</t>
  </si>
  <si>
    <t>Forsikringspremier</t>
  </si>
  <si>
    <t>Renteutgifter leverandør</t>
  </si>
  <si>
    <t>Snacks</t>
  </si>
  <si>
    <t>Kast</t>
  </si>
  <si>
    <t>Faste lønninger</t>
  </si>
  <si>
    <t>FSA</t>
  </si>
  <si>
    <t>Volum</t>
  </si>
  <si>
    <t>Regnskap</t>
  </si>
  <si>
    <t>Index %</t>
  </si>
  <si>
    <t>Kassedifferanse</t>
  </si>
  <si>
    <t>Diesel farget u/avg.</t>
  </si>
  <si>
    <t>LPG</t>
  </si>
  <si>
    <t>Parafin</t>
  </si>
  <si>
    <t>Arb.avg av lønn</t>
  </si>
  <si>
    <t>Arb.avg av feriep.</t>
  </si>
  <si>
    <t>Bruttofortjeneste</t>
  </si>
  <si>
    <t>Brf %</t>
  </si>
  <si>
    <t>Bruttofortjeneste avvik</t>
  </si>
  <si>
    <t>pga salg</t>
  </si>
  <si>
    <t>pga brf %</t>
  </si>
  <si>
    <t>% salg</t>
  </si>
  <si>
    <t>Bokført</t>
  </si>
  <si>
    <t>dager</t>
  </si>
  <si>
    <t>VAREGRUPPER</t>
  </si>
  <si>
    <t>Fra dato</t>
  </si>
  <si>
    <t>Til dato</t>
  </si>
  <si>
    <t>Sammenligning</t>
  </si>
  <si>
    <t>Betalbar skatt</t>
  </si>
  <si>
    <t>Renovasjon</t>
  </si>
  <si>
    <t>Netto finans</t>
  </si>
  <si>
    <t>OMSETNING</t>
  </si>
  <si>
    <t>BRUTTOFORTJ.</t>
  </si>
  <si>
    <t>DRIFTSKOSTN.</t>
  </si>
  <si>
    <t>SUM DRIFTSKOSTN.</t>
  </si>
  <si>
    <t>Sum Egenkapital</t>
  </si>
  <si>
    <t>Sum langsiktig gjeld</t>
  </si>
  <si>
    <t>% av brf</t>
  </si>
  <si>
    <t>BALANSE</t>
  </si>
  <si>
    <t>Non-Food</t>
  </si>
  <si>
    <t>Resultat/omsetning</t>
  </si>
  <si>
    <t>NØKKELTALL</t>
  </si>
  <si>
    <t>Omløpsmidler/kortsiktig gjeld</t>
  </si>
  <si>
    <t>Egenkapital/total kapital</t>
  </si>
  <si>
    <t>Forskuddstrekk betalt / trukket</t>
  </si>
  <si>
    <t>Arbeidsgiveravgift betalt / trukket</t>
  </si>
  <si>
    <t>Nå</t>
  </si>
  <si>
    <t>CR omsetning (i 1000 kr)</t>
  </si>
  <si>
    <t>Bruttofortj CR (etter kast)</t>
  </si>
  <si>
    <t>Bruttofortj vask (salg - kjemi)</t>
  </si>
  <si>
    <t>Fast food kast (i 1000 kr)</t>
  </si>
  <si>
    <t>Fast food kast %</t>
  </si>
  <si>
    <t>Totale personalkostnader (i 1000 kr)</t>
  </si>
  <si>
    <t>herav timelønn og overtid (eks fp/aga)</t>
  </si>
  <si>
    <t>Omsetning pr variabel time</t>
  </si>
  <si>
    <t>Bruttofortj pr variabel time</t>
  </si>
  <si>
    <t>fra 01.01.</t>
  </si>
  <si>
    <t>Lønnskost pr åpningstime (døgnåpent)</t>
  </si>
  <si>
    <t>Lønns% av omsetning</t>
  </si>
  <si>
    <t>Lønns% av bruttofortjeneste</t>
  </si>
  <si>
    <t>Bruttofortj CR ekskl vask</t>
  </si>
  <si>
    <t>telling</t>
  </si>
  <si>
    <t>Mest likvide omløpsmidler/korts. gjeld</t>
  </si>
  <si>
    <t>Personalkost/bruttofortjeneste</t>
  </si>
  <si>
    <t>KOMMENTARER</t>
  </si>
  <si>
    <t>VARSLER</t>
  </si>
  <si>
    <t>Egenkapitalen er lavere enn 50% av aksjekapitalen</t>
  </si>
  <si>
    <t>Egenkapital</t>
  </si>
  <si>
    <t>Skattetrekkskonto</t>
  </si>
  <si>
    <t>Skyldig skattetrekk</t>
  </si>
  <si>
    <t>Det er ikke tilstrekkelig midler på skattetrekkskonto</t>
  </si>
  <si>
    <t>Omløpsmidler er lavere enn kortsiktig gjeld</t>
  </si>
  <si>
    <t>Omløpsmidler</t>
  </si>
  <si>
    <t>Egenkapitalen er mindre enn lovens krav, og vi minner om</t>
  </si>
  <si>
    <t>styrets plikt til handling som forbedrer egenkapitalen.</t>
  </si>
  <si>
    <t>Skulle selskapet avsluttes i dag, er det ikke nok penger</t>
  </si>
  <si>
    <t>til å gjøre opp den kortsiktige gjelda.</t>
  </si>
  <si>
    <t>InvDt</t>
  </si>
  <si>
    <t>Interimskto.ut og innbetalinger</t>
  </si>
  <si>
    <t>Andre inntekter høy sats</t>
  </si>
  <si>
    <t>Gaver ansatte</t>
  </si>
  <si>
    <t>Vedlikehold " varmmatkonsept"</t>
  </si>
  <si>
    <t>Snøbrøyting &amp; gressklipping</t>
  </si>
  <si>
    <t>Hittil i år</t>
  </si>
  <si>
    <t>Ikke driftsrelat. innt/kostn</t>
  </si>
  <si>
    <t>Food / Mat</t>
  </si>
  <si>
    <t>Tobacco / Tobakk</t>
  </si>
  <si>
    <t>Lubricants / Motorolje</t>
  </si>
  <si>
    <t>Non Alcoholic Beverages / Mineralvann</t>
  </si>
  <si>
    <t>Instore Services / Butikktjenester</t>
  </si>
  <si>
    <t>Snacks / Kiosk og snacks</t>
  </si>
  <si>
    <t>Groceries / Dagligvarer</t>
  </si>
  <si>
    <t>Perishables / Ferskvarer</t>
  </si>
  <si>
    <t>Car Wash / Bilvask</t>
  </si>
  <si>
    <t>Lubricants Service / Service og arbeid</t>
  </si>
  <si>
    <t>Other NFR Services / Service og utleie</t>
  </si>
  <si>
    <t>Hand Wash / Selvvask</t>
  </si>
  <si>
    <t>BudsjettRapport</t>
  </si>
  <si>
    <t>Fuel avregning- mellomv shell Unleaded High Octane / Blyfri 98 - VPR99</t>
  </si>
  <si>
    <t>Fuel avregning- mellomv shell Unleaded Medium Octane / Blyfri 95</t>
  </si>
  <si>
    <t>Fuel avregning- mellomv shell Off-Road Automative Gas Oil / Avgiftsfri diesel</t>
  </si>
  <si>
    <t>Lager salgsvarer Roll Over / Maskinvask</t>
  </si>
  <si>
    <t>Lager salgsvarer Food Preparation On Site / Hurtigmat</t>
  </si>
  <si>
    <t>Lager salgsvarer PCMO - Engine Oils / Motorolje</t>
  </si>
  <si>
    <t>Lager salgsvarer Other Lubricants / Diverse smøreoljer</t>
  </si>
  <si>
    <t>Lager salgsvarer MCO - Engine Oils / Motorolje MC</t>
  </si>
  <si>
    <t>Lager salgsvarer Hot Drinks / Varme drikker</t>
  </si>
  <si>
    <t>Lager salgsvarer Cigarettes / Sigaretter</t>
  </si>
  <si>
    <t>Lager salgsvarer Cigars / Sigarer</t>
  </si>
  <si>
    <t>Lager salgsvarer RYO / Rulletobakk</t>
  </si>
  <si>
    <t>Lager salgsvarer Smokeless Tobacco / Snus</t>
  </si>
  <si>
    <t>Lager salgsvarer Accessories / Tilbehør</t>
  </si>
  <si>
    <t>Lager salgsvarer Other Tobacco / Diverse tobakk</t>
  </si>
  <si>
    <t>Lager salgsvarer News &amp; Magazines / Aviser og blader</t>
  </si>
  <si>
    <t>Lager salgsvarer Leisure / Fritid og sesongvarer</t>
  </si>
  <si>
    <t>Lager salgsvarer General Merchandise / Generelle varer</t>
  </si>
  <si>
    <t>Lager salgsvarer Car Related Accessories / Bilrekvisita</t>
  </si>
  <si>
    <t>Lager salgsvarer Other Non-Food / Diverse non-food</t>
  </si>
  <si>
    <t>Lager salgsvarer Bottled Gas / Propan</t>
  </si>
  <si>
    <t>Lager salgsvarer Car Care / Bilpleie</t>
  </si>
  <si>
    <t>Lager salgsvarer Carbonated / Mineralvann</t>
  </si>
  <si>
    <t>Lager salgsvarer Still / Vann</t>
  </si>
  <si>
    <t>Lager salgsvarer Energy / Energidrikker</t>
  </si>
  <si>
    <t>Lager salgsvarer Juices / Juice</t>
  </si>
  <si>
    <t>Lager salgsvarer Other Non-alcoholic Beverages / Diverse mineralvann (pant)</t>
  </si>
  <si>
    <t>Lager salgsvarer Salty snacks / Salt snack</t>
  </si>
  <si>
    <t>Lager salgsvarer Sweet snacks / Søt snacks</t>
  </si>
  <si>
    <t>Lager salgsvarer Confectionary / Kiosk</t>
  </si>
  <si>
    <t>Lager salgsvarer Ice Cream / Iskrem</t>
  </si>
  <si>
    <t>Lager salgsvarer Other Snacks / Diverse kiosk og snacks</t>
  </si>
  <si>
    <t>Lager salgsvarer Frozen Food / Frossen mat</t>
  </si>
  <si>
    <t>Lager salgsvarer Pharmacy / Legemidler</t>
  </si>
  <si>
    <t>Lager salgsvarer Personal Products / Personlige produkter</t>
  </si>
  <si>
    <t>Lager salgsvarer Dry Grocery / Tørrvarer (mat)</t>
  </si>
  <si>
    <t>Lager salgsvarer Other Groceries / Diverse dagligvare</t>
  </si>
  <si>
    <t>Lager salgsvarer Dairy / Meieriprodukter</t>
  </si>
  <si>
    <t>Lager salgsvarer Fresh Meat / Ferskt kjøtt</t>
  </si>
  <si>
    <t>Lager salgsvarer Deli / Kjølevarer</t>
  </si>
  <si>
    <t>Lager salgsvarer Flowers / Blomster</t>
  </si>
  <si>
    <t>Lager salgsvarer Fruit/Salad / Frukt og salat</t>
  </si>
  <si>
    <t>Omsetn fuel Unleaded High Octane / Blyfri 98 - VPR99</t>
  </si>
  <si>
    <t>Omsetn fuel Unleaded Medium Octane / Blyfri 95</t>
  </si>
  <si>
    <t>Omsetn fuel Off-Road Automative Gas Oil / Avgiftsfri diesel</t>
  </si>
  <si>
    <t>Omsetning høy sats Hand Wash / Selvvask</t>
  </si>
  <si>
    <t>Omsetning høy sats Roll Over / Maskinvask</t>
  </si>
  <si>
    <t>Omsetning høy sats PCMO - Engine Oils / Motorolje</t>
  </si>
  <si>
    <t>Omsetning høy sats MCO - Engine Oils / Motorolje MC</t>
  </si>
  <si>
    <t>Omsetning høy sats Cigarettes / Sigaretter</t>
  </si>
  <si>
    <t>Omsetning høy sats Cigars / Sigarer</t>
  </si>
  <si>
    <t>Omsetning høy sats RYO / Rulletobakk</t>
  </si>
  <si>
    <t>Omsetning høy sats Smokeless Tobacco / Snus</t>
  </si>
  <si>
    <t>Omsetning høy sats Accessories / Tilbehør</t>
  </si>
  <si>
    <t>Omsetning høy sats Other Tobacco / Diverse tobakk</t>
  </si>
  <si>
    <t>Omsetning høy sats News &amp; Magazines / Aviser og blader</t>
  </si>
  <si>
    <t>Omsetning høy sats Leisure / Fritid og sesongvarer</t>
  </si>
  <si>
    <t>Omsetning høy sats General Merchandise / Generelle varer</t>
  </si>
  <si>
    <t>Omsetning høy sats Car Related Accessories / Bilrekvisita</t>
  </si>
  <si>
    <t>Omsetning høy sats Bottled Gas / Propan</t>
  </si>
  <si>
    <t>Omsetning høy sats Car Care / Bilpleie</t>
  </si>
  <si>
    <t>Omsetning høy sats Pharmacy / Legemidler</t>
  </si>
  <si>
    <t>Omsetning høy sats Personal Products / Personlige produkter</t>
  </si>
  <si>
    <t>Omsetning høy sats Other Groceries / Diverse dagligvare</t>
  </si>
  <si>
    <t>Omsetning høy sats Flowers / Blomster</t>
  </si>
  <si>
    <t>Omsetning middels sats Food Preparation On Site / Hurtigmat</t>
  </si>
  <si>
    <t>Omsetning middels sats Hot Drinks / Varme drikker</t>
  </si>
  <si>
    <t>Omsetning middels sats Bakery Products / Bakervarer</t>
  </si>
  <si>
    <t>Omsetning middels sats Carbonated / Mineralvann</t>
  </si>
  <si>
    <t>Omsetning middels sats Still / Vann</t>
  </si>
  <si>
    <t>Omsetning middels sats Energy / Energidrikker</t>
  </si>
  <si>
    <t>Omsetning middels sats Juices / Juice</t>
  </si>
  <si>
    <t>Omsetning middels sats Salty snacks / Salt snack</t>
  </si>
  <si>
    <t>Omsetning middels sats Sweet snacks / Søt snacks</t>
  </si>
  <si>
    <t>Omsetning middels sats Confectionary / Kiosk</t>
  </si>
  <si>
    <t>Omsetning middels sats Ice Cream / Iskrem</t>
  </si>
  <si>
    <t>Omsetning middels sats Other Snacks / Diverse kiosk og snacks</t>
  </si>
  <si>
    <t>Omsetning middels sats Frozen Food / Frossen mat</t>
  </si>
  <si>
    <t>Omsetning middels sats Dry Grocery / Tørrvarer (mat)</t>
  </si>
  <si>
    <t>Omsetning middels sats Dairy / Meieriprodukter</t>
  </si>
  <si>
    <t>Omsetning middels sats Fresh Meat / Ferskt kjøtt</t>
  </si>
  <si>
    <t>Omsetning middels sats Deli / Kjølevarer</t>
  </si>
  <si>
    <t>Omsetning middels sats Fruit/Salad / Frukt og salat</t>
  </si>
  <si>
    <t>Omsetning uten mva News &amp; Magazines / Aviser og blader</t>
  </si>
  <si>
    <t>Omsetning uten mva Other Non-alcoholic Beverages / Diverse mineralvann (pant)</t>
  </si>
  <si>
    <t>Varekost fuel Unleaded High Octane / Blyfri 98 - VPR99</t>
  </si>
  <si>
    <t>Varekost fuel Unleaded Medium Octane / Blyfri 95</t>
  </si>
  <si>
    <t>Serveringstilbehør Food Preparation On Site / Hurtigmat</t>
  </si>
  <si>
    <t>Serveringstilbehør Hot Drinks / Varme drikker</t>
  </si>
  <si>
    <t>Serveringstilbehør Bakery Products / Bakervarer</t>
  </si>
  <si>
    <t>Serveringstilbehør Confectionary / Kiosk</t>
  </si>
  <si>
    <t>Kast Varer Food Preparation On Site / Hurtigmat</t>
  </si>
  <si>
    <t>Kast Varer Dairy / Meieriprodukter</t>
  </si>
  <si>
    <t>Periodisering FSA og Royalty</t>
  </si>
  <si>
    <t>Varekost fuel Off-Road Automative Gas Oil / Avgiftsfri diesel</t>
  </si>
  <si>
    <t>PERIODISERINGER</t>
  </si>
  <si>
    <t>Sum</t>
  </si>
  <si>
    <t>Periodisering Strøm</t>
  </si>
  <si>
    <t>Periodisering Vann &amp; komm. avg.</t>
  </si>
  <si>
    <t>Periodisering Renhold</t>
  </si>
  <si>
    <t>Periodisering Leasing utleie</t>
  </si>
  <si>
    <t>Periodisering Leasing annet</t>
  </si>
  <si>
    <t>Periodisering Vedr uteareal</t>
  </si>
  <si>
    <t>Periodisering Honorarer</t>
  </si>
  <si>
    <t>Periodisering Andre tjenester (vakthold)</t>
  </si>
  <si>
    <t>Periodisering Forsikringspremier</t>
  </si>
  <si>
    <t>For detaljer: Se arkfane "Kostnader"</t>
  </si>
  <si>
    <t>Resultat</t>
  </si>
  <si>
    <t>Telledato</t>
  </si>
  <si>
    <t>Cluster:</t>
  </si>
  <si>
    <t>Samtale vedr periode</t>
  </si>
  <si>
    <t>Dato for samtale</t>
  </si>
  <si>
    <t>Kvalitetskontroll</t>
  </si>
  <si>
    <t>kvalitetskontrollen</t>
  </si>
  <si>
    <t>Retailer:</t>
  </si>
  <si>
    <t>3 fokusområder drift</t>
  </si>
  <si>
    <t>1) Er innsedelsesfrister overholdt av alle stasjoner og retailer?</t>
  </si>
  <si>
    <t xml:space="preserve">2) Er kvaliteten på det som sendes tilfredsstillende ? </t>
  </si>
  <si>
    <t xml:space="preserve">3) Er det oppdaget lovbrudd ? </t>
  </si>
  <si>
    <t xml:space="preserve">5) Er alt vel vedrørende fakturaflyten og remitteringer ? </t>
  </si>
  <si>
    <t xml:space="preserve">6) Har Visma overholdt sine tidsfrister ?  </t>
  </si>
  <si>
    <t xml:space="preserve">7) Er retailer fornøyd med kvaliteten som er levert denne måned ? </t>
  </si>
  <si>
    <t xml:space="preserve">4) Er det noe å påpeke vedrørende innberetningspliktige ytelser ? </t>
  </si>
  <si>
    <t>Utført av:</t>
  </si>
  <si>
    <t>Andre deltakere:</t>
  </si>
  <si>
    <t>Kommentarer til</t>
  </si>
  <si>
    <t>StatusCallImprovements</t>
  </si>
  <si>
    <t>StatusCallOther</t>
  </si>
  <si>
    <t>StatusCallCustomerComments</t>
  </si>
  <si>
    <t>StatusCallVismaComments</t>
  </si>
  <si>
    <t>StatusCallFollowUp</t>
  </si>
  <si>
    <t>StatusCallQAComments</t>
  </si>
  <si>
    <t>Bensin 95</t>
  </si>
  <si>
    <t>Bensin V-Power 98</t>
  </si>
  <si>
    <t>V-Power Diesel</t>
  </si>
  <si>
    <t>Diesel Extra</t>
  </si>
  <si>
    <t>Fuel avregning- mellomv shell On-Road Automotive Gas Oil / Diesel</t>
  </si>
  <si>
    <t>Fuel avregning- mellomv shell On-Road Automotive Gas Oil / V-power Diesel</t>
  </si>
  <si>
    <t>Omsetn fuel On-Road Automotive Gas Oil / Diesel</t>
  </si>
  <si>
    <t>Omsetn fuel On-Road Automotive Gas Oil / V-power Diesel</t>
  </si>
  <si>
    <t>Omsetning høy sats Other Car Wash / Diverse bilvask</t>
  </si>
  <si>
    <t>Omsetning høy sats Other Lubricants / Diverse smøreoljer</t>
  </si>
  <si>
    <t>Kommisjon drivstoff Unleaded Medium Octane / Blyfri 95</t>
  </si>
  <si>
    <t>Varekost fuel On-Road Automotive Gas Oil / Diesel</t>
  </si>
  <si>
    <t>Varekost fuel On-Road Automotive Gas Oil / V-power Diesel</t>
  </si>
  <si>
    <t>Adblue</t>
  </si>
  <si>
    <t>Periodisering OTP</t>
  </si>
  <si>
    <t>156K_ANDRE FORDRINGER</t>
  </si>
  <si>
    <t>190K_BANKINNSKUDD OG KONTANTER</t>
  </si>
  <si>
    <t>U LiabilitiesVendor</t>
  </si>
  <si>
    <t>250K_BETALBAR SKATT</t>
  </si>
  <si>
    <t>260K_SKYLDIGE OFFENTILGE AVGIFTE</t>
  </si>
  <si>
    <t>U LiabilitiesVAT</t>
  </si>
  <si>
    <t>290K_ANNEN KORTS GJELD</t>
  </si>
  <si>
    <t>310K_ANNEN SALGSINNTEKT</t>
  </si>
  <si>
    <t>Kast Varer Ice Cream / Iskrem</t>
  </si>
  <si>
    <t>790S_ANDRE DRIFTSKOSTNADER</t>
  </si>
  <si>
    <t>Vedlikehold maskiner, utstyr, pumper, ka</t>
  </si>
  <si>
    <t>814K_ANNEN RENTEKOSTNAD</t>
  </si>
  <si>
    <t xml:space="preserve"> _</t>
  </si>
  <si>
    <t>Konto: 5015,5016,5190,5191</t>
  </si>
  <si>
    <t>Lønn og bonus</t>
  </si>
  <si>
    <t>Generell kommentar</t>
  </si>
  <si>
    <t>Statussamtale</t>
  </si>
  <si>
    <t>Volum  drivstoff</t>
  </si>
  <si>
    <t>Faktisk</t>
  </si>
  <si>
    <t>Totalt</t>
  </si>
  <si>
    <t>Omsetning CR i kroner</t>
  </si>
  <si>
    <t>Mat</t>
  </si>
  <si>
    <t>Drikke</t>
  </si>
  <si>
    <t>Vask</t>
  </si>
  <si>
    <t>Tobakk</t>
  </si>
  <si>
    <t>Annet</t>
  </si>
  <si>
    <t>Sum omsetning</t>
  </si>
  <si>
    <t>Bruttofortjeneste CR i kroner</t>
  </si>
  <si>
    <t>Sum bruttofortjeneste</t>
  </si>
  <si>
    <t>Kostnader i kroner</t>
  </si>
  <si>
    <t>Sum kostnader</t>
  </si>
  <si>
    <t>Denne perioden</t>
  </si>
  <si>
    <t>vs fjorår</t>
  </si>
  <si>
    <t>vs budsjett</t>
  </si>
  <si>
    <t>mnd</t>
  </si>
  <si>
    <t>år</t>
  </si>
  <si>
    <t>Kommisjon endring</t>
  </si>
  <si>
    <t>Tall i tusen</t>
  </si>
  <si>
    <t>Endring i kr vs fjorår</t>
  </si>
  <si>
    <t>Velg selskap</t>
  </si>
  <si>
    <t>Endring i volum vs fjorår</t>
  </si>
  <si>
    <t>Kommisjon drivstoff i kr</t>
  </si>
  <si>
    <t>Rex-diesel</t>
  </si>
  <si>
    <t>Inventar / verktøy</t>
  </si>
  <si>
    <t>Avskrivning inventar / verktøy</t>
  </si>
  <si>
    <t>123K_DRIFTSLØSØRE INVENTAR</t>
  </si>
  <si>
    <t>Delayed Payment</t>
  </si>
  <si>
    <t>U LiabilitiesFranchisor</t>
  </si>
  <si>
    <t>Smart Fuel AS(Shell)</t>
  </si>
  <si>
    <t>Innførselsmva, høy sats</t>
  </si>
  <si>
    <t>Arb.giv.avg. av avsatte feriepenger</t>
  </si>
  <si>
    <t>Utbetalte feriepenger</t>
  </si>
  <si>
    <t>Omsetning høy sats Food Preparation On Site / Hurtigmat</t>
  </si>
  <si>
    <t>Omsetning høy sats Hot Drinks / Varme drikker</t>
  </si>
  <si>
    <t>Omsetning høy sats Other Non-Food / Diverse non-food</t>
  </si>
  <si>
    <t>Omsetning uten mva Other Instore Services / Diverse butikk</t>
  </si>
  <si>
    <t>Serveringstilbehør Other Non-Food / Diverse non-food</t>
  </si>
  <si>
    <t>Serveringstilbehør Ice Cream / Iskrem</t>
  </si>
  <si>
    <t>Kast Varer Fruit/Salad / Frukt og salat</t>
  </si>
  <si>
    <t>OTP Arb.avg. pliktig</t>
  </si>
  <si>
    <t>Motpost fordel</t>
  </si>
  <si>
    <t>Yrkesskadeforsikring</t>
  </si>
  <si>
    <t>Andre kostnader vedr. lokaler</t>
  </si>
  <si>
    <t>Driftsmateriell hall &amp; selvvask</t>
  </si>
  <si>
    <t>Møtekostnader (interne/eksterne)</t>
  </si>
  <si>
    <t>Reklamekostnad</t>
  </si>
  <si>
    <t>CRT Kortgebyr</t>
  </si>
  <si>
    <t>Andre innt/kostn</t>
  </si>
  <si>
    <t>Timelønn - antall timer</t>
  </si>
  <si>
    <t>Timelønn - gj.sn. timesats</t>
  </si>
  <si>
    <t>Personalkostnad 9900</t>
  </si>
  <si>
    <t>Personalkostnad ex 9900</t>
  </si>
  <si>
    <t>Personalkost vs budsjett</t>
  </si>
  <si>
    <t>Andre kostnader ex 9900</t>
  </si>
  <si>
    <t>Andre kostnader 9900</t>
  </si>
  <si>
    <t>RESULTAT EX 9900</t>
  </si>
  <si>
    <t>VIPPS (Extra payment method)</t>
  </si>
  <si>
    <t>Interim Uknown Cost</t>
  </si>
  <si>
    <t>Avsatt utbytte</t>
  </si>
  <si>
    <t>Annet, provisjon håndteringsgg resirk Other Non-alcoholic Beverages / Diverse mineralvann (pant)</t>
  </si>
  <si>
    <t>Småanskaffelser verktøy servicehall</t>
  </si>
  <si>
    <t>Telefon - ny</t>
  </si>
  <si>
    <t>Telefon - utgår</t>
  </si>
  <si>
    <t>Reisekostnad, ikke opplysningspliktig, ikke trekkpliktig</t>
  </si>
  <si>
    <t>Emballasje &amp; Bæreposer</t>
  </si>
  <si>
    <t>Kontingent fradragsberettiget</t>
  </si>
  <si>
    <t>Kontingent ikke fradragsberettiget</t>
  </si>
  <si>
    <t>U OtherCost</t>
  </si>
  <si>
    <t>Øreavrunding</t>
  </si>
  <si>
    <t>770K_ANDRE KOSTNADER</t>
  </si>
  <si>
    <t>Gebyr andre</t>
  </si>
  <si>
    <t>Gebyr TGTG</t>
  </si>
  <si>
    <t>Avstikk fra pumpe, høy sats</t>
  </si>
  <si>
    <t>Drivstoff</t>
  </si>
  <si>
    <t>Fuels / Drivstoff</t>
  </si>
  <si>
    <t>CR</t>
  </si>
  <si>
    <t>Sales</t>
  </si>
  <si>
    <t>Varekost</t>
  </si>
  <si>
    <t>CRT kortgebyr</t>
  </si>
  <si>
    <t>Ekstraord tap/gev.</t>
  </si>
  <si>
    <t>Volume</t>
  </si>
  <si>
    <t>Dummy</t>
  </si>
  <si>
    <t>Regnskap perioden</t>
  </si>
  <si>
    <t>Budsjett perioden</t>
  </si>
  <si>
    <t>Regnskap hittil</t>
  </si>
  <si>
    <t>Budsjett hittil</t>
  </si>
  <si>
    <t>Pr24</t>
  </si>
  <si>
    <t>Pr23</t>
  </si>
  <si>
    <t>Pr22</t>
  </si>
  <si>
    <t>Pr21</t>
  </si>
  <si>
    <t>Pr20</t>
  </si>
  <si>
    <t>Pr19</t>
  </si>
  <si>
    <t>Pr18</t>
  </si>
  <si>
    <t>Pr17</t>
  </si>
  <si>
    <t>Pr16</t>
  </si>
  <si>
    <t>Pr15</t>
  </si>
  <si>
    <t>Pr14</t>
  </si>
  <si>
    <t>Pr13</t>
  </si>
  <si>
    <t>Pr12</t>
  </si>
  <si>
    <t>Pr11</t>
  </si>
  <si>
    <t>Pr10</t>
  </si>
  <si>
    <t>Pr09</t>
  </si>
  <si>
    <t>Pr08</t>
  </si>
  <si>
    <t>Pr07</t>
  </si>
  <si>
    <t>Pr06</t>
  </si>
  <si>
    <t>Pr05</t>
  </si>
  <si>
    <t>Pr04</t>
  </si>
  <si>
    <t>Pr03</t>
  </si>
  <si>
    <t>Pr02</t>
  </si>
  <si>
    <t>Pr01</t>
  </si>
  <si>
    <t>AcInpR8</t>
  </si>
  <si>
    <t>R8</t>
  </si>
  <si>
    <t>srt</t>
  </si>
  <si>
    <t>R8Gr2</t>
  </si>
  <si>
    <t>Energi</t>
  </si>
  <si>
    <t>AcGr3</t>
  </si>
  <si>
    <t>AcGr3Txt</t>
  </si>
  <si>
    <t>R8Gr3</t>
  </si>
  <si>
    <t>Bil</t>
  </si>
  <si>
    <t>Bilvask</t>
  </si>
  <si>
    <t>Butikk</t>
  </si>
  <si>
    <t>Varm drikke</t>
  </si>
  <si>
    <t>Fritidsartikler</t>
  </si>
  <si>
    <t>Kald drikke</t>
  </si>
  <si>
    <t>Pant</t>
  </si>
  <si>
    <t>Selvvask</t>
  </si>
  <si>
    <t>Drivstoff liter</t>
  </si>
  <si>
    <t>Annet mellomv. franchisegiver</t>
  </si>
  <si>
    <t>10 Drivstoff</t>
  </si>
  <si>
    <t>120 Mat</t>
  </si>
  <si>
    <t>130 Varm drikke</t>
  </si>
  <si>
    <t>140 Kald drikke</t>
  </si>
  <si>
    <t>160 Kioskvarer ex smågodt</t>
  </si>
  <si>
    <t>161 Smågodt</t>
  </si>
  <si>
    <t>170 Butikk</t>
  </si>
  <si>
    <t>180 Tobakk</t>
  </si>
  <si>
    <t>190 Fritidsartikler</t>
  </si>
  <si>
    <t>200 Bil</t>
  </si>
  <si>
    <t>210 Bilvask</t>
  </si>
  <si>
    <t>211 Selvvask</t>
  </si>
  <si>
    <t>220 Utleie</t>
  </si>
  <si>
    <t>250 Pant</t>
  </si>
  <si>
    <t>1360 Blyfri 98 - VPR99</t>
  </si>
  <si>
    <t>1370 Blyfri 95</t>
  </si>
  <si>
    <t>1490 Diesel</t>
  </si>
  <si>
    <t>1491 V-power Diesel</t>
  </si>
  <si>
    <t>1500 Avgiftsfri diesel</t>
  </si>
  <si>
    <t>2501 Mineralvann</t>
  </si>
  <si>
    <t>2904 Blomster</t>
  </si>
  <si>
    <t>2506 Diverse mineralvann (pant)</t>
  </si>
  <si>
    <t>Ac</t>
  </si>
  <si>
    <t>AcNm</t>
  </si>
  <si>
    <t>PrT</t>
  </si>
  <si>
    <t>PrL</t>
  </si>
  <si>
    <t>PrB</t>
  </si>
  <si>
    <t>YtdB</t>
  </si>
  <si>
    <t>YtdT</t>
  </si>
  <si>
    <t>YtdL</t>
  </si>
  <si>
    <t>OB</t>
  </si>
  <si>
    <t>AcGr</t>
  </si>
  <si>
    <t>R7</t>
  </si>
  <si>
    <t>Nm</t>
  </si>
  <si>
    <t>RStDt</t>
  </si>
  <si>
    <t>REndDt</t>
  </si>
  <si>
    <t>Cost</t>
  </si>
  <si>
    <t>VolumeBg</t>
  </si>
  <si>
    <t>SalesBg</t>
  </si>
  <si>
    <t>CostBg</t>
  </si>
  <si>
    <t>Type</t>
  </si>
  <si>
    <t>Bg</t>
  </si>
  <si>
    <t>02 Butikk</t>
  </si>
  <si>
    <t>09 ikke budsjett</t>
  </si>
  <si>
    <t>50 Personalkostnad</t>
  </si>
  <si>
    <t>501 Faste lønninger</t>
  </si>
  <si>
    <t>508 Påløpte feriepenger</t>
  </si>
  <si>
    <t>540 Arb.avg av lønn</t>
  </si>
  <si>
    <t>541 Arb.avg av feriep.</t>
  </si>
  <si>
    <t>590 Andre personal</t>
  </si>
  <si>
    <t>70 Andre kostnader</t>
  </si>
  <si>
    <t>739 Reise-møter-kurs</t>
  </si>
  <si>
    <t>741 Diverse</t>
  </si>
  <si>
    <t>300 Salg</t>
  </si>
  <si>
    <t>400 Varekost</t>
  </si>
  <si>
    <t>460 Kast</t>
  </si>
  <si>
    <t>627 Renhold-renovasj</t>
  </si>
  <si>
    <t>628 Leie driftsmidler</t>
  </si>
  <si>
    <t>630 Utstyr &amp; verktøy</t>
  </si>
  <si>
    <t>631 Forbruksmateriell</t>
  </si>
  <si>
    <t>632 Rep &amp; vedlikehold</t>
  </si>
  <si>
    <t>633 Data &amp; kortsystem</t>
  </si>
  <si>
    <t>635 Fremmedtj &amp; vakth</t>
  </si>
  <si>
    <t>636 Kontorrekvisita</t>
  </si>
  <si>
    <t>637 Telefon</t>
  </si>
  <si>
    <t>740 Reklame</t>
  </si>
  <si>
    <t>742 Forsikringer</t>
  </si>
  <si>
    <t>743 Erstatn - tyveri</t>
  </si>
  <si>
    <t>744 Kassedifferanse</t>
  </si>
  <si>
    <t>771 Bank &amp; kortprov</t>
  </si>
  <si>
    <t>780 Ekstraord tap/gev.</t>
  </si>
  <si>
    <t>80 Netto finans</t>
  </si>
  <si>
    <t>800 Fin. inntekter</t>
  </si>
  <si>
    <t>84 Andre innt/kostn</t>
  </si>
  <si>
    <t>840 Ikke driftsrelat. innt/kostn</t>
  </si>
  <si>
    <t>BRUTTOFORTJENESTE</t>
  </si>
  <si>
    <t>DRIFTSKOSTNADER</t>
  </si>
  <si>
    <t>Eiendeler totalt</t>
  </si>
  <si>
    <t>Gjeld og egenkapital totalt</t>
  </si>
  <si>
    <t>INNEVÆRENDE ÅR</t>
  </si>
  <si>
    <t>40 CR totalt</t>
  </si>
  <si>
    <t>Omsetning totalt</t>
  </si>
  <si>
    <t>Bruttofortjeneste totalt</t>
  </si>
  <si>
    <t>Driftskostnader totalt</t>
  </si>
  <si>
    <t>Omsetning Totalt</t>
  </si>
  <si>
    <t>Udisponert resultat *</t>
  </si>
  <si>
    <t>&lt;&gt;99??</t>
  </si>
  <si>
    <t>1370</t>
  </si>
  <si>
    <t>1360</t>
  </si>
  <si>
    <t>1491</t>
  </si>
  <si>
    <t>1490</t>
  </si>
  <si>
    <t>1500</t>
  </si>
  <si>
    <t>1046</t>
  </si>
  <si>
    <t>1022</t>
  </si>
  <si>
    <t>1492</t>
  </si>
  <si>
    <t>10</t>
  </si>
  <si>
    <t>Kostnader Totalt</t>
  </si>
  <si>
    <t>R8Gr1</t>
  </si>
  <si>
    <t>LTM</t>
  </si>
  <si>
    <t>R8Gr1Txt</t>
  </si>
  <si>
    <t>R8Gr2Txt</t>
  </si>
  <si>
    <t>Endring i volum vs budsjett</t>
  </si>
  <si>
    <t>Endring i kr vs budsjett</t>
  </si>
  <si>
    <t>lvl</t>
  </si>
  <si>
    <t>Kast / svinn</t>
  </si>
  <si>
    <t>Teoretisk</t>
  </si>
  <si>
    <t>Usynlig</t>
  </si>
  <si>
    <t>Prod</t>
  </si>
  <si>
    <t>ProdGr1</t>
  </si>
  <si>
    <t>12010 BAKERI</t>
  </si>
  <si>
    <t>12011 PØLSE</t>
  </si>
  <si>
    <t>12012 HAMBURGER</t>
  </si>
  <si>
    <t>12013 PIZZA</t>
  </si>
  <si>
    <t>12014 OPPVARMET</t>
  </si>
  <si>
    <t>12015 PÅSMURT</t>
  </si>
  <si>
    <t>12017 ANDRE SERVERINGER</t>
  </si>
  <si>
    <t>12019 DIVERSE MAT</t>
  </si>
  <si>
    <t>12018 IS SERVERING</t>
  </si>
  <si>
    <t>ProdGr3</t>
  </si>
  <si>
    <t>13010 KAFFE</t>
  </si>
  <si>
    <t>13011 KAFFELOJALITET</t>
  </si>
  <si>
    <t>13012 TE/KAKAO/ANNET</t>
  </si>
  <si>
    <t>14010 BRUS</t>
  </si>
  <si>
    <t>14011 TRENDDRIKKE</t>
  </si>
  <si>
    <t>14012 ENERGI DRIKKE</t>
  </si>
  <si>
    <t>14013 VANN MED OG UTEN KULLSYRE</t>
  </si>
  <si>
    <t>14014 ANNEN DRIKKE</t>
  </si>
  <si>
    <t>16010 SJOKOLADE</t>
  </si>
  <si>
    <t>16011 GODTERI</t>
  </si>
  <si>
    <t>16012 SNACKS</t>
  </si>
  <si>
    <t>16013 LØSVEKT</t>
  </si>
  <si>
    <t>16014 ISKREM</t>
  </si>
  <si>
    <t>16015 KAMPANJE</t>
  </si>
  <si>
    <t>160 Kioskvarer</t>
  </si>
  <si>
    <t>17010 DAGLIGVARE SPISELIG</t>
  </si>
  <si>
    <t>17011 DAGLIGVARE IKKE SPISELIG</t>
  </si>
  <si>
    <t>17012 APOTEKVARER</t>
  </si>
  <si>
    <t>17013 TJENESTER</t>
  </si>
  <si>
    <t>18010 SIGARETTER</t>
  </si>
  <si>
    <t>18011 SNUS</t>
  </si>
  <si>
    <t>18012 ANNEN TOBAKK</t>
  </si>
  <si>
    <t>19010 AVISER</t>
  </si>
  <si>
    <t>19011 BLADER/BØKER KULTUR MED MVA</t>
  </si>
  <si>
    <t>19013 UTSTYR OG KLÆR</t>
  </si>
  <si>
    <t>19014 ELEKTRONIKK</t>
  </si>
  <si>
    <t>19015 SESONG</t>
  </si>
  <si>
    <t>19016 GASS</t>
  </si>
  <si>
    <t>19017 BRENSEL</t>
  </si>
  <si>
    <t>19018 ANNEN</t>
  </si>
  <si>
    <t>20010 BILPLEIE</t>
  </si>
  <si>
    <t>20011 ADBLUE</t>
  </si>
  <si>
    <t>20012 BILTILBEHØR OG VEDLIKEHOLD</t>
  </si>
  <si>
    <t>20013 SMØREOLJE</t>
  </si>
  <si>
    <t>20014 VERKSTED</t>
  </si>
  <si>
    <t>21010 MASKINVASK</t>
  </si>
  <si>
    <t>21011 MASKINVASK LOJALITET</t>
  </si>
  <si>
    <t>21012 SELVVASK</t>
  </si>
  <si>
    <t>240 Drift</t>
  </si>
  <si>
    <t>25010 PANT</t>
  </si>
  <si>
    <t>DRIVSTOFF</t>
  </si>
  <si>
    <t>Gruppe</t>
  </si>
  <si>
    <t>øre/liter</t>
  </si>
  <si>
    <t>Drivstoff volum Totalt</t>
  </si>
  <si>
    <t>790 Avskrivninger</t>
  </si>
  <si>
    <t>1102</t>
  </si>
  <si>
    <t>Lager salgsvarer Other Car Wash / Diverse bilvask</t>
  </si>
  <si>
    <t>1104</t>
  </si>
  <si>
    <t>1201</t>
  </si>
  <si>
    <t>Lager salgsvarer BAKERI</t>
  </si>
  <si>
    <t>12010</t>
  </si>
  <si>
    <t>Food Service / Matservering</t>
  </si>
  <si>
    <t>Lager salgsvarer PØLSE</t>
  </si>
  <si>
    <t>12011</t>
  </si>
  <si>
    <t>Lager salgsvarer HAMBURGER</t>
  </si>
  <si>
    <t>12012</t>
  </si>
  <si>
    <t>Lager salgsvarer PIZZA</t>
  </si>
  <si>
    <t>12013</t>
  </si>
  <si>
    <t>Lager salgsvarer OPPVARMET</t>
  </si>
  <si>
    <t>12014</t>
  </si>
  <si>
    <t>Lager salgsvarer PÅSMURT</t>
  </si>
  <si>
    <t>12015</t>
  </si>
  <si>
    <t>Lager salgsvarer ANDRE SERVERINGER</t>
  </si>
  <si>
    <t>12017</t>
  </si>
  <si>
    <t>Lager salgsvarer IS SERVERING</t>
  </si>
  <si>
    <t>12018</t>
  </si>
  <si>
    <t>Lager salgsvarer DIVERSE MAT</t>
  </si>
  <si>
    <t>12019</t>
  </si>
  <si>
    <t>Lager salgsvarer KAFFE</t>
  </si>
  <si>
    <t>13010</t>
  </si>
  <si>
    <t>Lager salgsvarer KAFFELOJALITET</t>
  </si>
  <si>
    <t>13011</t>
  </si>
  <si>
    <t>Lager salgsvarer TE/KAKAO/ANNET</t>
  </si>
  <si>
    <t>13012</t>
  </si>
  <si>
    <t>Lager salgsvarer BRUS</t>
  </si>
  <si>
    <t>14010</t>
  </si>
  <si>
    <t>Lager salgsvarer TRENDDRIKKE</t>
  </si>
  <si>
    <t>14011</t>
  </si>
  <si>
    <t>Lager salgsvarer ENERGI DRIKKE</t>
  </si>
  <si>
    <t>14012</t>
  </si>
  <si>
    <t>Lager salgsvarer VANN MED OG UTEN KULLSYRE</t>
  </si>
  <si>
    <t>14013</t>
  </si>
  <si>
    <t>Lager salgsvarer ANNEN DRIKKE</t>
  </si>
  <si>
    <t>14014</t>
  </si>
  <si>
    <t>Lager salgsvarer Car and other repairs and spare parts / Verksted</t>
  </si>
  <si>
    <t>1402</t>
  </si>
  <si>
    <t>Lager salgsvarer SJOKOLADE</t>
  </si>
  <si>
    <t>16010</t>
  </si>
  <si>
    <t>Kioskvarer</t>
  </si>
  <si>
    <t>Lager salgsvarer GODTERI</t>
  </si>
  <si>
    <t>16011</t>
  </si>
  <si>
    <t>Lager salgsvarer SNACKS</t>
  </si>
  <si>
    <t>16012</t>
  </si>
  <si>
    <t>Lager salgsvarer LØSVEKT</t>
  </si>
  <si>
    <t>16013</t>
  </si>
  <si>
    <t>Lager salgsvarer ISKREM</t>
  </si>
  <si>
    <t>16014</t>
  </si>
  <si>
    <t>Lager salgsvarer SESONG / KAMPANJE</t>
  </si>
  <si>
    <t>16015</t>
  </si>
  <si>
    <t>Lager salgsvarer DAGLIGVARE SPISELIG</t>
  </si>
  <si>
    <t>17010</t>
  </si>
  <si>
    <t>Lager salgsvarer DAGLIGVARE IKKE SPISELIG</t>
  </si>
  <si>
    <t>17011</t>
  </si>
  <si>
    <t>Lager salgsvarer APOTEKVARER</t>
  </si>
  <si>
    <t>17012</t>
  </si>
  <si>
    <t>Lager salgsvarer TJENESTER</t>
  </si>
  <si>
    <t>17013</t>
  </si>
  <si>
    <t>Lager salgsvarer SIGARETTER</t>
  </si>
  <si>
    <t>18010</t>
  </si>
  <si>
    <t>Lager salgsvarer SNUS</t>
  </si>
  <si>
    <t>18011</t>
  </si>
  <si>
    <t>Lager salgsvarer ANNEN TOBAKK</t>
  </si>
  <si>
    <t>18012</t>
  </si>
  <si>
    <t>Lager salgsvarer AVISER</t>
  </si>
  <si>
    <t>19010</t>
  </si>
  <si>
    <t>Lager salgsvarer BLADER/BØKER KULTUR MED MVA</t>
  </si>
  <si>
    <t>19011</t>
  </si>
  <si>
    <t>Lager salgsvarer UTSTYR OG KLÆR</t>
  </si>
  <si>
    <t>19013</t>
  </si>
  <si>
    <t>Lager salgsvarer ELEKTRONIKK</t>
  </si>
  <si>
    <t>19014</t>
  </si>
  <si>
    <t>Lager salgsvarer SESONG</t>
  </si>
  <si>
    <t>19015</t>
  </si>
  <si>
    <t>Lager salgsvarer GASS</t>
  </si>
  <si>
    <t>19016</t>
  </si>
  <si>
    <t>Lager salgsvarer BRENSEL</t>
  </si>
  <si>
    <t>19017</t>
  </si>
  <si>
    <t>Lager salgsvarer ANNEN</t>
  </si>
  <si>
    <t>19018</t>
  </si>
  <si>
    <t>Lager salgsvarer BILPLEIE</t>
  </si>
  <si>
    <t>20010</t>
  </si>
  <si>
    <t>Lager salgsvarer ADBLUE</t>
  </si>
  <si>
    <t>20011</t>
  </si>
  <si>
    <t>Lager salgsvarer BILTILBEHØR OG VEDLIKEHOLD</t>
  </si>
  <si>
    <t>20012</t>
  </si>
  <si>
    <t>Lager salgsvarer SMØREOLJE</t>
  </si>
  <si>
    <t>20013</t>
  </si>
  <si>
    <t>Lager salgsvarer VERKSTED</t>
  </si>
  <si>
    <t>20014</t>
  </si>
  <si>
    <t>Lager salgsvarer Other Instore Services / Diverse butikk</t>
  </si>
  <si>
    <t>2006</t>
  </si>
  <si>
    <t>2010</t>
  </si>
  <si>
    <t>2040</t>
  </si>
  <si>
    <t>2090</t>
  </si>
  <si>
    <t>2101</t>
  </si>
  <si>
    <t>Lager salgsvarer MASKINVASK</t>
  </si>
  <si>
    <t>21010</t>
  </si>
  <si>
    <t>Lager salgsvarer MASKINVASK LOJALITET</t>
  </si>
  <si>
    <t>21011</t>
  </si>
  <si>
    <t>Lager salgsvarer SELVVASK</t>
  </si>
  <si>
    <t>21012</t>
  </si>
  <si>
    <t>Lager salgsvarer Bakery Products / Bakervarer</t>
  </si>
  <si>
    <t>2103</t>
  </si>
  <si>
    <t>2201</t>
  </si>
  <si>
    <t>2202</t>
  </si>
  <si>
    <t>2203</t>
  </si>
  <si>
    <t>2204</t>
  </si>
  <si>
    <t>2205</t>
  </si>
  <si>
    <t>2206</t>
  </si>
  <si>
    <t>2401</t>
  </si>
  <si>
    <t>Drift</t>
  </si>
  <si>
    <t>2402</t>
  </si>
  <si>
    <t>2403</t>
  </si>
  <si>
    <t>2404</t>
  </si>
  <si>
    <t>2405</t>
  </si>
  <si>
    <t>2406</t>
  </si>
  <si>
    <t>2407</t>
  </si>
  <si>
    <t>2501</t>
  </si>
  <si>
    <t>Lager salgsvarer PANT</t>
  </si>
  <si>
    <t>25010</t>
  </si>
  <si>
    <t>2502</t>
  </si>
  <si>
    <t>Lager salgsvarer Sport / Sportsdrikker</t>
  </si>
  <si>
    <t>2503</t>
  </si>
  <si>
    <t>2504</t>
  </si>
  <si>
    <t>2505</t>
  </si>
  <si>
    <t>2506</t>
  </si>
  <si>
    <t>2701</t>
  </si>
  <si>
    <t>2702</t>
  </si>
  <si>
    <t>2703</t>
  </si>
  <si>
    <t>2704</t>
  </si>
  <si>
    <t>2705</t>
  </si>
  <si>
    <t>2801</t>
  </si>
  <si>
    <t>2802</t>
  </si>
  <si>
    <t>2803</t>
  </si>
  <si>
    <t>2805</t>
  </si>
  <si>
    <t>2806</t>
  </si>
  <si>
    <t>2901</t>
  </si>
  <si>
    <t>2902</t>
  </si>
  <si>
    <t>2903</t>
  </si>
  <si>
    <t>2904</t>
  </si>
  <si>
    <t>2905</t>
  </si>
  <si>
    <t>99910</t>
  </si>
  <si>
    <t>Interim fakturering</t>
  </si>
  <si>
    <t>Too Good To Go (Extra payment method)</t>
  </si>
  <si>
    <t>Bankterminal (Extra payment method)</t>
  </si>
  <si>
    <t>Annen egenkapital</t>
  </si>
  <si>
    <t>Betalt forhåndsskatt</t>
  </si>
  <si>
    <t>Interimskonto</t>
  </si>
  <si>
    <t>1101</t>
  </si>
  <si>
    <t>Omsetning høy sats BAKERI</t>
  </si>
  <si>
    <t>Omsetning høy sats PØLSE</t>
  </si>
  <si>
    <t>Omsetning høy sats HAMBURGER</t>
  </si>
  <si>
    <t>Omsetning høy sats PÅSMURT</t>
  </si>
  <si>
    <t>Omsetning høy sats BRUS</t>
  </si>
  <si>
    <t>Omsetning høy sats DAGLIGVARE IKKE SPISELIG</t>
  </si>
  <si>
    <t>Omsetning høy sats APOTEKVARER</t>
  </si>
  <si>
    <t>Omsetning høy sats TJENESTER</t>
  </si>
  <si>
    <t>Omsetning høy sats SIGARETTER</t>
  </si>
  <si>
    <t>Omsetning høy sats SNUS</t>
  </si>
  <si>
    <t>Omsetning høy sats ANNEN TOBAKK</t>
  </si>
  <si>
    <t>Omsetning høy sats AVISER</t>
  </si>
  <si>
    <t>Omsetning høy sats BLADER/BØKER KULTUR MED MVA</t>
  </si>
  <si>
    <t>Omsetning høy sats UTSTYR OG KLÆR</t>
  </si>
  <si>
    <t>Omsetning høy sats ELEKTRONIKK</t>
  </si>
  <si>
    <t>Omsetning høy sats SESONG</t>
  </si>
  <si>
    <t>Omsetning høy sats GASS</t>
  </si>
  <si>
    <t>Omsetning høy sats BRENSEL</t>
  </si>
  <si>
    <t>Omsetning høy sats BILPLEIE</t>
  </si>
  <si>
    <t>Omsetning høy sats ADBLUE</t>
  </si>
  <si>
    <t>Omsetning høy sats BILTILBEHØR OG VEDLIKEHOLD</t>
  </si>
  <si>
    <t>Omsetning høy sats SMØREOLJE</t>
  </si>
  <si>
    <t>Omsetning høy sats VERKSTED</t>
  </si>
  <si>
    <t>Omsetning høy sats MASKINVASK</t>
  </si>
  <si>
    <t>Omsetning høy sats MASKINVASK LOJALITET</t>
  </si>
  <si>
    <t>Omsetning høy sats SELVVASK</t>
  </si>
  <si>
    <t>Omsetning middels sats BAKERI</t>
  </si>
  <si>
    <t>Omsetning middels sats PØLSE</t>
  </si>
  <si>
    <t>Omsetning middels sats HAMBURGER</t>
  </si>
  <si>
    <t>Omsetning middels sats PIZZA</t>
  </si>
  <si>
    <t>Omsetning middels sats OPPVARMET</t>
  </si>
  <si>
    <t>Omsetning middels sats PÅSMURT</t>
  </si>
  <si>
    <t>Omsetning middels sats IS SERVERING</t>
  </si>
  <si>
    <t>Omsetning middels sats KAFFE</t>
  </si>
  <si>
    <t>Omsetning middels sats KAFFELOJALITET</t>
  </si>
  <si>
    <t>Omsetning middels sats TE/KAKAO/ANNET</t>
  </si>
  <si>
    <t>Omsetning middels sats BRUS</t>
  </si>
  <si>
    <t>Omsetning middels sats TRENDDRIKKE</t>
  </si>
  <si>
    <t>Omsetning middels sats ENERGI DRIKKE</t>
  </si>
  <si>
    <t>Omsetning middels sats VANN MED OG UTEN KULLSYRE</t>
  </si>
  <si>
    <t>Omsetning middels sats ANNEN DRIKKE</t>
  </si>
  <si>
    <t>Omsetning middels sats SJOKOLADE</t>
  </si>
  <si>
    <t>Omsetning middels sats GODTERI</t>
  </si>
  <si>
    <t>Omsetning middels sats SNACKS</t>
  </si>
  <si>
    <t>Omsetning middels sats LØSVEKT</t>
  </si>
  <si>
    <t>Omsetning middels sats ISKREM</t>
  </si>
  <si>
    <t>Omsetning middels sats SESONG / KAMPANJE</t>
  </si>
  <si>
    <t>Omsetning middels sats DAGLIGVARE SPISELIG</t>
  </si>
  <si>
    <t>Omsetning middels sats Sport / Sportsdrikker</t>
  </si>
  <si>
    <t>Omsetning uten mva AVISER</t>
  </si>
  <si>
    <t>Omsetning uten mva PANT</t>
  </si>
  <si>
    <t>Annet, provisjon håndteringsgg resirk PANT</t>
  </si>
  <si>
    <t>Serveringstilbehør BAKERI</t>
  </si>
  <si>
    <t>Serveringstilbehør PØLSE</t>
  </si>
  <si>
    <t>Serveringstilbehør HAMBURGER</t>
  </si>
  <si>
    <t>Serveringstilbehør OPPVARMET</t>
  </si>
  <si>
    <t>Serveringstilbehør PÅSMURT</t>
  </si>
  <si>
    <t>Serveringstilbehør DRIKKE SERVERING</t>
  </si>
  <si>
    <t>12016</t>
  </si>
  <si>
    <t>Serveringstilbehør ANDRE SERVERINGER</t>
  </si>
  <si>
    <t>Serveringstilbehør IS SERVERING</t>
  </si>
  <si>
    <t>Serveringstilbehør DIVERSE MAT</t>
  </si>
  <si>
    <t>Serveringstilbehør KAFFE</t>
  </si>
  <si>
    <t>Serveringstilbehør LØSVEKT</t>
  </si>
  <si>
    <t>Serveringstilbehør DAGLIGVARE SPISELIG</t>
  </si>
  <si>
    <t>Kast Varer BAKERI</t>
  </si>
  <si>
    <t>Kast Varer PØLSE</t>
  </si>
  <si>
    <t>Kast Varer HAMBURGER</t>
  </si>
  <si>
    <t>Kast Varer PIZZA</t>
  </si>
  <si>
    <t>Kast Varer OPPVARMET</t>
  </si>
  <si>
    <t>Kast Varer PÅSMURT</t>
  </si>
  <si>
    <t>Kast Varer IS SERVERING</t>
  </si>
  <si>
    <t>Kast Varer DIVERSE MAT</t>
  </si>
  <si>
    <t>Kast Varer ISKREM</t>
  </si>
  <si>
    <t>Premiering / Konkurranser</t>
  </si>
  <si>
    <t>Avskrivning inventar og utstyr</t>
  </si>
  <si>
    <t>600K_AVSKRIVNING</t>
  </si>
  <si>
    <t>1301</t>
  </si>
  <si>
    <t>Vedlikehold hall &amp; selvvask</t>
  </si>
  <si>
    <t>Vedlikehold, justeringsgebyr</t>
  </si>
  <si>
    <t>Porto</t>
  </si>
  <si>
    <t>Purregebyr og inkassokostnader</t>
  </si>
  <si>
    <t>DRIFTSKOSTNADER OG RESULTAT</t>
  </si>
  <si>
    <t>Oms</t>
  </si>
  <si>
    <t>Vol</t>
  </si>
  <si>
    <t>Res</t>
  </si>
  <si>
    <t>Space</t>
  </si>
  <si>
    <t>Header</t>
  </si>
  <si>
    <t>num</t>
  </si>
  <si>
    <t>col</t>
  </si>
  <si>
    <t>Cat</t>
  </si>
  <si>
    <t>txt</t>
  </si>
  <si>
    <t>Gr1</t>
  </si>
  <si>
    <t>Gr3</t>
  </si>
  <si>
    <t>Category</t>
  </si>
  <si>
    <t>P1</t>
  </si>
  <si>
    <t>P3</t>
  </si>
  <si>
    <t>Pid</t>
  </si>
  <si>
    <t>Omsetning</t>
  </si>
  <si>
    <t>110 Energi</t>
  </si>
  <si>
    <t>40 CR</t>
  </si>
  <si>
    <t>Volum / øre pr liter</t>
  </si>
  <si>
    <t>10 Drivstoff volum</t>
  </si>
  <si>
    <t>110 Energi volum</t>
  </si>
  <si>
    <t>300</t>
  </si>
  <si>
    <t>39 Bruttofortjeneste</t>
  </si>
  <si>
    <t>400</t>
  </si>
  <si>
    <t>460</t>
  </si>
  <si>
    <t>499</t>
  </si>
  <si>
    <t>501</t>
  </si>
  <si>
    <t>508</t>
  </si>
  <si>
    <t>540</t>
  </si>
  <si>
    <t>541</t>
  </si>
  <si>
    <t>590</t>
  </si>
  <si>
    <t>599</t>
  </si>
  <si>
    <t>627</t>
  </si>
  <si>
    <t>628</t>
  </si>
  <si>
    <t>630</t>
  </si>
  <si>
    <t>631</t>
  </si>
  <si>
    <t>632</t>
  </si>
  <si>
    <t>633</t>
  </si>
  <si>
    <t>635</t>
  </si>
  <si>
    <t>636</t>
  </si>
  <si>
    <t>637</t>
  </si>
  <si>
    <t>739</t>
  </si>
  <si>
    <t>740</t>
  </si>
  <si>
    <t>741</t>
  </si>
  <si>
    <t>742</t>
  </si>
  <si>
    <t>743</t>
  </si>
  <si>
    <t>744</t>
  </si>
  <si>
    <t>771</t>
  </si>
  <si>
    <t>780</t>
  </si>
  <si>
    <t>790</t>
  </si>
  <si>
    <t>799</t>
  </si>
  <si>
    <t>800</t>
  </si>
  <si>
    <t>839</t>
  </si>
  <si>
    <t>840</t>
  </si>
  <si>
    <t>899</t>
  </si>
  <si>
    <t>849</t>
  </si>
  <si>
    <t>Varegruppe</t>
  </si>
  <si>
    <t>Timelønn - gj.sn. timesats (ink overtid)</t>
  </si>
  <si>
    <t>Kommentarer til balansen</t>
  </si>
  <si>
    <t>517 Kopervik bensin og storkiosk AS - 83441</t>
  </si>
  <si>
    <t>01.12.2022</t>
  </si>
  <si>
    <t>31.12.2022</t>
  </si>
  <si>
    <t>I fjor</t>
  </si>
  <si>
    <t>2023.01.30  13:16:48</t>
  </si>
  <si>
    <t>audun.wiig</t>
  </si>
  <si>
    <t>517 Kopervik bensin og storkiosk AS</t>
  </si>
  <si>
    <t>Kopervik Bensin- og Storkiosk AS</t>
  </si>
  <si>
    <t>Avaldsnesveien 72</t>
  </si>
  <si>
    <t>randi@finasvingen.no</t>
  </si>
  <si>
    <t>4250</t>
  </si>
  <si>
    <t>KOPERVIK</t>
  </si>
  <si>
    <t>K:\LargeAccounts\Shell DO\Kopervik bensin og storkiosk as - 83441\2 - Pliktig rapportering</t>
  </si>
  <si>
    <t>4169</t>
  </si>
  <si>
    <t>Kopervik Bensin og Storkiosk AS</t>
  </si>
  <si>
    <t>107K_UTSATT SKATTEFORDEL</t>
  </si>
  <si>
    <t>U4169PostponedTax</t>
  </si>
  <si>
    <t>Bygningsmessig anlegg</t>
  </si>
  <si>
    <t>140K_BYGG OG FAST EIENDOM</t>
  </si>
  <si>
    <t>U4169FixedAssets</t>
  </si>
  <si>
    <t>Kostnader planlagt nybygg</t>
  </si>
  <si>
    <t>Avskrivning fast eiendom</t>
  </si>
  <si>
    <t>U4169EstimatedAccruals</t>
  </si>
  <si>
    <t>Lån -  R.Kvaløy Holding</t>
  </si>
  <si>
    <t>140K_OBLIGASJNEOG ANDRE FORDRING</t>
  </si>
  <si>
    <t>U4169LongTermReceiveables</t>
  </si>
  <si>
    <t>Fordringer eiere / styre</t>
  </si>
  <si>
    <t>136K_OBLIGASJONER ANDRE FORDR</t>
  </si>
  <si>
    <t>Depositum</t>
  </si>
  <si>
    <t>U4169Inventory1002</t>
  </si>
  <si>
    <t>U4169Inventory1005</t>
  </si>
  <si>
    <t>U4169Inventory1001</t>
  </si>
  <si>
    <t>U4169Inventory1007</t>
  </si>
  <si>
    <t>U4169Inventory1006</t>
  </si>
  <si>
    <t>Lager salgsvarer Hand Wash / Selvvask</t>
  </si>
  <si>
    <t>U4169Inventory1101</t>
  </si>
  <si>
    <t>U4169Inventory1102</t>
  </si>
  <si>
    <t>U4169Inventory</t>
  </si>
  <si>
    <t>U4169Inventory1201</t>
  </si>
  <si>
    <t>Lager salgsvarer DRIKKE SERVERING</t>
  </si>
  <si>
    <t>U4169Inventory2101</t>
  </si>
  <si>
    <t>U4169Inventory2501</t>
  </si>
  <si>
    <t>U4169Inventory2503</t>
  </si>
  <si>
    <t>U4169Inventory2502</t>
  </si>
  <si>
    <t>U4169Inventory2505</t>
  </si>
  <si>
    <t>U4169Inventory1402</t>
  </si>
  <si>
    <t>Lager salgsvarer Off-Road Automative Gas Oil / Avgiftsfri diesel</t>
  </si>
  <si>
    <t>U4169Inventory2703</t>
  </si>
  <si>
    <t>U4169Inventory2701</t>
  </si>
  <si>
    <t>U4169Inventory2704</t>
  </si>
  <si>
    <t>U4169Inventory2901</t>
  </si>
  <si>
    <t>U4169Inventory2803</t>
  </si>
  <si>
    <t>U4169Inventory2802</t>
  </si>
  <si>
    <t>U4169Inventory2006</t>
  </si>
  <si>
    <t>Lager salgsvarer BILLETTER</t>
  </si>
  <si>
    <t>17014</t>
  </si>
  <si>
    <t>U4169Inventory2201</t>
  </si>
  <si>
    <t>U4169Inventory2204</t>
  </si>
  <si>
    <t>U4169Inventory2202</t>
  </si>
  <si>
    <t>U4169Inventory2401</t>
  </si>
  <si>
    <t>U4169Inventory2403</t>
  </si>
  <si>
    <t>U4169Inventory2406</t>
  </si>
  <si>
    <t>U4169Inventory2407</t>
  </si>
  <si>
    <t>U4169Inventory2404</t>
  </si>
  <si>
    <t>U4169Inventory0140</t>
  </si>
  <si>
    <t>Lager salgsvarer DEKK &amp; FELG</t>
  </si>
  <si>
    <t>20015</t>
  </si>
  <si>
    <t>Lager salgsvarer Lottery / Lotteri, bingo etc</t>
  </si>
  <si>
    <t>2002</t>
  </si>
  <si>
    <t>U4169Inventory2002</t>
  </si>
  <si>
    <t>Lager salgsvarer Ticket / Billetter</t>
  </si>
  <si>
    <t>2005</t>
  </si>
  <si>
    <t>U4169Inventory2005</t>
  </si>
  <si>
    <t>U4169Inventory0110</t>
  </si>
  <si>
    <t>Lager salgsvarer HDDEO - Engine Oils Heavy Duty Diesel Engine / Motorolje diesel</t>
  </si>
  <si>
    <t>2070</t>
  </si>
  <si>
    <t>U4169Inventory0170</t>
  </si>
  <si>
    <t>U4169Inventory0190</t>
  </si>
  <si>
    <t>Lager salgsvarer Sandwiches / Smørbrød</t>
  </si>
  <si>
    <t>2102</t>
  </si>
  <si>
    <t>U4169Inventory2102</t>
  </si>
  <si>
    <t>U4169Inventory2103</t>
  </si>
  <si>
    <t>U4169Inventory2402</t>
  </si>
  <si>
    <t>U4169Inventory2405</t>
  </si>
  <si>
    <t>U4169Inventory2506</t>
  </si>
  <si>
    <t>U4169Inventory2504</t>
  </si>
  <si>
    <t>Lager salgsvarer Packaged Water /</t>
  </si>
  <si>
    <t>2507</t>
  </si>
  <si>
    <t>U4169Inventory2507</t>
  </si>
  <si>
    <t>Lager salgsvarer Beer / Øl</t>
  </si>
  <si>
    <t>2601</t>
  </si>
  <si>
    <t>Alkoholholdig drikke</t>
  </si>
  <si>
    <t>Lager salgsvarer Other Alcoholic Beverages / Diverse alkoholholdig drikke</t>
  </si>
  <si>
    <t>2604</t>
  </si>
  <si>
    <t>U4169Inventory2702</t>
  </si>
  <si>
    <t>U4169Inventory2705</t>
  </si>
  <si>
    <t>U4169Inventory2801</t>
  </si>
  <si>
    <t>Lager salgsvarer Pet Food / Dyremat</t>
  </si>
  <si>
    <t>2804</t>
  </si>
  <si>
    <t>U4169Inventory2804</t>
  </si>
  <si>
    <t>U4169Inventory2805</t>
  </si>
  <si>
    <t>U4169Inventory2806</t>
  </si>
  <si>
    <t>U4169Inventory2902</t>
  </si>
  <si>
    <t>U4169Inventory2903</t>
  </si>
  <si>
    <t>U4169Inventory2904</t>
  </si>
  <si>
    <t>U4169Inventory2905</t>
  </si>
  <si>
    <t>Lager salgsvarer UKJENT</t>
  </si>
  <si>
    <t>Interimskonto kunderfordringer/local credit</t>
  </si>
  <si>
    <t>U4169AccountsReceiveables</t>
  </si>
  <si>
    <t>U4169CardReceiveables</t>
  </si>
  <si>
    <t>Forskuddsbet forsikring øvrig</t>
  </si>
  <si>
    <t>U4169ShortTermAssets</t>
  </si>
  <si>
    <t>Forskuddsbet diverse</t>
  </si>
  <si>
    <t>Reiseforskudd</t>
  </si>
  <si>
    <t>Interimskonto kasse</t>
  </si>
  <si>
    <t>U4169Cash</t>
  </si>
  <si>
    <t>Fast kasse</t>
  </si>
  <si>
    <t>Kasse Norsk Tipping</t>
  </si>
  <si>
    <t>Bank, 3361.12.42617</t>
  </si>
  <si>
    <t>U Bank</t>
  </si>
  <si>
    <t>U4169Bank</t>
  </si>
  <si>
    <t>Bank, Tipping, 3361.19.93418</t>
  </si>
  <si>
    <t>Sparekonto - 3361.24.28692</t>
  </si>
  <si>
    <t>Bank skattetrekk 3361.12.42625</t>
  </si>
  <si>
    <t>U4169Equity</t>
  </si>
  <si>
    <t>140K_ANNEN EGENKAPITAL</t>
  </si>
  <si>
    <t>U4169LiabilitiesVendor</t>
  </si>
  <si>
    <t>U4169LiabilitiesFranchisor</t>
  </si>
  <si>
    <t>1000</t>
  </si>
  <si>
    <t>U1000LiabilitiesTax</t>
  </si>
  <si>
    <t>U4169LiabilitiesTax</t>
  </si>
  <si>
    <t>U4169LiabilitiesTaxWithheldSocialSecurity</t>
  </si>
  <si>
    <t>U4169LiabilitiesVAT</t>
  </si>
  <si>
    <t>Utgående innførsels MVA høy sats</t>
  </si>
  <si>
    <t>140K_UTBYTTE</t>
  </si>
  <si>
    <t>U4169LiabilitiesShortTerm</t>
  </si>
  <si>
    <t>Forskudd fra kunder</t>
  </si>
  <si>
    <t>Gjeld til Holdingselskap</t>
  </si>
  <si>
    <t>U4169LiabilitiesVacationCost</t>
  </si>
  <si>
    <t>Skyldig revisjonshonorar</t>
  </si>
  <si>
    <t>U4169LiabilitiesOther</t>
  </si>
  <si>
    <t>Salg kasse</t>
  </si>
  <si>
    <t>U4169Sales1002</t>
  </si>
  <si>
    <t>U4169Sales1005</t>
  </si>
  <si>
    <t>U4169Sales1001</t>
  </si>
  <si>
    <t>U4169Sales1007</t>
  </si>
  <si>
    <t>U4169Sales1006</t>
  </si>
  <si>
    <t>U4169Sales1101</t>
  </si>
  <si>
    <t>U4169Sales1102</t>
  </si>
  <si>
    <t>U4169Sales</t>
  </si>
  <si>
    <t>U4169Sales1201</t>
  </si>
  <si>
    <t>Omsetning høy sats ANDRE SERVERINGER</t>
  </si>
  <si>
    <t>Omsetning høy sats IS SERVERING</t>
  </si>
  <si>
    <t>Omsetning høy sats Lub Bays / Service og arbeid</t>
  </si>
  <si>
    <t>U4169Sales1301</t>
  </si>
  <si>
    <t>Omsetning høy sats Car and other rental / Bil og hengerutleie</t>
  </si>
  <si>
    <t>1401</t>
  </si>
  <si>
    <t>Utleie</t>
  </si>
  <si>
    <t>U4169Sales1401</t>
  </si>
  <si>
    <t>U4169Sales2501</t>
  </si>
  <si>
    <t>Omsetning høy sats VANN MED OG UTEN KULLSYRE</t>
  </si>
  <si>
    <t>U4169Sales2502</t>
  </si>
  <si>
    <t>Omsetning høy sats ANNEN DRIKKE</t>
  </si>
  <si>
    <t>U4169Sales2505</t>
  </si>
  <si>
    <t>Omsetning høy sats Car and other repairs and spare parts / Verksted</t>
  </si>
  <si>
    <t>U4169Sales1402</t>
  </si>
  <si>
    <t>Omsetning høy sats SNACKS</t>
  </si>
  <si>
    <t>U4169Sales2701</t>
  </si>
  <si>
    <t>U4169Sales2803</t>
  </si>
  <si>
    <t>U4169Sales2802</t>
  </si>
  <si>
    <t>U4169Sales2006</t>
  </si>
  <si>
    <t>Omsetning høy sats BILLETTER</t>
  </si>
  <si>
    <t>U4169Sales2201</t>
  </si>
  <si>
    <t>U4169Sales2204</t>
  </si>
  <si>
    <t>U4169Sales2202</t>
  </si>
  <si>
    <t>U4169Sales2401</t>
  </si>
  <si>
    <t>U4169Sales2403</t>
  </si>
  <si>
    <t>U4169Sales2406</t>
  </si>
  <si>
    <t>U4169Sales2407</t>
  </si>
  <si>
    <t>U4169Sales2404</t>
  </si>
  <si>
    <t>U4169Sales0140</t>
  </si>
  <si>
    <t>Omsetning høy sats DEKK &amp; FELG</t>
  </si>
  <si>
    <t>Omsetning høy sats Other Instore Services / Diverse butikk</t>
  </si>
  <si>
    <t>U4169Sales0110</t>
  </si>
  <si>
    <t>Omsetning høy sats HDDEO - Engine Oils Heavy Duty Diesel Engine / Motorolje diesel</t>
  </si>
  <si>
    <t>U4169Sales0170</t>
  </si>
  <si>
    <t>U4169Sales0190</t>
  </si>
  <si>
    <t>U4169Sales2101</t>
  </si>
  <si>
    <t>U4169Sales2402</t>
  </si>
  <si>
    <t>U4169Sales2405</t>
  </si>
  <si>
    <t>Omsetning høy sats Confectionary / Kiosk</t>
  </si>
  <si>
    <t>U4169Sales2703</t>
  </si>
  <si>
    <t>U4169Sales2806</t>
  </si>
  <si>
    <t>U4169Sales2904</t>
  </si>
  <si>
    <t>Omsetning høy sats UKJENT</t>
  </si>
  <si>
    <t>Omsetning ikke slått kasse (høy sats) MASKINVASK</t>
  </si>
  <si>
    <t>Omsetning middels sats DRIKKE SERVERING</t>
  </si>
  <si>
    <t>U4169Sales2503</t>
  </si>
  <si>
    <t>U4169Sales2704</t>
  </si>
  <si>
    <t>U4169Sales2901</t>
  </si>
  <si>
    <t>U4169Sales2103</t>
  </si>
  <si>
    <t>U4169Sales2504</t>
  </si>
  <si>
    <t>U4169Sales2702</t>
  </si>
  <si>
    <t>U4169Sales2705</t>
  </si>
  <si>
    <t>U4169Sales2801</t>
  </si>
  <si>
    <t>U4169Sales2805</t>
  </si>
  <si>
    <t>U4169Sales2902</t>
  </si>
  <si>
    <t>U4169Sales2903</t>
  </si>
  <si>
    <t>U4169Sales2905</t>
  </si>
  <si>
    <t>Omsetning uten mva BILLETTER</t>
  </si>
  <si>
    <t>Omsetning uten mva Ticket / Billetter</t>
  </si>
  <si>
    <t>U4169Sales2005</t>
  </si>
  <si>
    <t>U4169Sales2506</t>
  </si>
  <si>
    <t>Faktureringsgebyr</t>
  </si>
  <si>
    <t>0</t>
  </si>
  <si>
    <t>U4169SalesCommission1005</t>
  </si>
  <si>
    <t>U4169NotOperational</t>
  </si>
  <si>
    <t>Andre inntekter middels sats</t>
  </si>
  <si>
    <t>Tipping provisjon TJENESTER</t>
  </si>
  <si>
    <t>Tipping provisjon Lottery / Lotteri, bingo etc</t>
  </si>
  <si>
    <t>U4169Sales2002</t>
  </si>
  <si>
    <t>Varekost kasse</t>
  </si>
  <si>
    <t>U4169Purchase1002</t>
  </si>
  <si>
    <t>U4169Purchase1005</t>
  </si>
  <si>
    <t>U4169Purchase1001</t>
  </si>
  <si>
    <t>U4169Purchase1007</t>
  </si>
  <si>
    <t>U4169Purchase1006</t>
  </si>
  <si>
    <t>Varekost kasse Hand Wash / Selvvask</t>
  </si>
  <si>
    <t>U4169Purchase1101</t>
  </si>
  <si>
    <t>Varekost kasse Roll Over / Maskinvask</t>
  </si>
  <si>
    <t>U4169Purchase1102</t>
  </si>
  <si>
    <t>Varekost kasse Other Car Wash / Diverse bilvask</t>
  </si>
  <si>
    <t>Varekost kasse Food Preparation On Site / Hurtigmat</t>
  </si>
  <si>
    <t>U4169Purchase</t>
  </si>
  <si>
    <t>Varekost kasse BAKERI</t>
  </si>
  <si>
    <t>U4169Purchase1201</t>
  </si>
  <si>
    <t>Varekost kasse PØLSE</t>
  </si>
  <si>
    <t>Varekost kasse HAMBURGER</t>
  </si>
  <si>
    <t>Varekost kasse PIZZA</t>
  </si>
  <si>
    <t>Varekost kasse OPPVARMET</t>
  </si>
  <si>
    <t>Varekost kasse PÅSMURT</t>
  </si>
  <si>
    <t>Varekost kasse DRIKKE SERVERING</t>
  </si>
  <si>
    <t>Varekost kasse ANDRE SERVERINGER</t>
  </si>
  <si>
    <t>Varekost kasse IS SERVERING</t>
  </si>
  <si>
    <t>Varekost kasse DIVERSE MAT</t>
  </si>
  <si>
    <t>Varekost kasse KAFFE</t>
  </si>
  <si>
    <t>U4169Purchase2101</t>
  </si>
  <si>
    <t>Varekost kasse KAFFELOJALITET</t>
  </si>
  <si>
    <t>Varekost kasse TE/KAKAO/ANNET</t>
  </si>
  <si>
    <t>Varekost kasse BRUS</t>
  </si>
  <si>
    <t>U4169Purchase2501</t>
  </si>
  <si>
    <t>Varekost kasse TRENDDRIKKE</t>
  </si>
  <si>
    <t>Varekost kasse ENERGI DRIKKE</t>
  </si>
  <si>
    <t>U4169Purchase2503</t>
  </si>
  <si>
    <t>Varekost kasse VANN MED OG UTEN KULLSYRE</t>
  </si>
  <si>
    <t>U4169Purchase2502</t>
  </si>
  <si>
    <t>Varekost kasse ANNEN DRIKKE</t>
  </si>
  <si>
    <t>U4169Purchase2505</t>
  </si>
  <si>
    <t>Varekost kasse Car and other repairs and spare parts / Verksted</t>
  </si>
  <si>
    <t>U4169Purchase1402</t>
  </si>
  <si>
    <t>Varekost kasse Off-Road Automative Gas Oil / Avgiftsfri diesel</t>
  </si>
  <si>
    <t>Varekost kasse SJOKOLADE</t>
  </si>
  <si>
    <t>U4169Purchase2703</t>
  </si>
  <si>
    <t>Varekost kasse GODTERI</t>
  </si>
  <si>
    <t>Varekost kasse SNACKS</t>
  </si>
  <si>
    <t>U4169Purchase2701</t>
  </si>
  <si>
    <t>Varekost kasse LØSVEKT</t>
  </si>
  <si>
    <t>Varekost kasse ISKREM</t>
  </si>
  <si>
    <t>U4169Purchase2704</t>
  </si>
  <si>
    <t>Varekost kasse SESONG / KAMPANJE</t>
  </si>
  <si>
    <t>Varekost kasse DAGLIGVARE SPISELIG</t>
  </si>
  <si>
    <t>U4169Purchase2901</t>
  </si>
  <si>
    <t>Varekost kasse DAGLIGVARE IKKE SPISELIG</t>
  </si>
  <si>
    <t>U4169Purchase2803</t>
  </si>
  <si>
    <t>Varekost kasse APOTEKVARER</t>
  </si>
  <si>
    <t>U4169Purchase2802</t>
  </si>
  <si>
    <t>Varekost kasse TJENESTER</t>
  </si>
  <si>
    <t>U4169Purchase2006</t>
  </si>
  <si>
    <t>Varekost kasse BILLETTER</t>
  </si>
  <si>
    <t>Varekost kasse SIGARETTER</t>
  </si>
  <si>
    <t>U4169Purchase2201</t>
  </si>
  <si>
    <t>Varekost kasse SNUS</t>
  </si>
  <si>
    <t>U4169Purchase2204</t>
  </si>
  <si>
    <t>Varekost kasse ANNEN TOBAKK</t>
  </si>
  <si>
    <t>U4169Purchase2202</t>
  </si>
  <si>
    <t>Varekost kasse AVISER</t>
  </si>
  <si>
    <t>U4169Purchase2401</t>
  </si>
  <si>
    <t>Varekost kasse BLADER/BØKER KULTUR MED MVA</t>
  </si>
  <si>
    <t>Varekost kasse UTSTYR OG KLÆR</t>
  </si>
  <si>
    <t>U4169Purchase2403</t>
  </si>
  <si>
    <t>Varekost kasse ELEKTRONIKK</t>
  </si>
  <si>
    <t>Varekost kasse SESONG</t>
  </si>
  <si>
    <t>Varekost kasse GASS</t>
  </si>
  <si>
    <t>U4169Purchase2406</t>
  </si>
  <si>
    <t>Varekost kasse BRENSEL</t>
  </si>
  <si>
    <t>Varekost kasse ANNEN</t>
  </si>
  <si>
    <t>Varekost kasse BILPLEIE</t>
  </si>
  <si>
    <t>U4169Purchase2407</t>
  </si>
  <si>
    <t>Varekost kasse ADBLUE</t>
  </si>
  <si>
    <t>U4169Purchase2404</t>
  </si>
  <si>
    <t>Varekost kasse BILTILBEHØR OG VEDLIKEHOLD</t>
  </si>
  <si>
    <t>Varekost kasse SMØREOLJE</t>
  </si>
  <si>
    <t>U4169Purchase0140</t>
  </si>
  <si>
    <t>Varekost kasse VERKSTED</t>
  </si>
  <si>
    <t>Varekost kasse DEKK &amp; FELG</t>
  </si>
  <si>
    <t>Varekost kasse Lottery / Lotteri, bingo etc</t>
  </si>
  <si>
    <t>U4169Purchase2002</t>
  </si>
  <si>
    <t>Varekost kasse Ticket / Billetter</t>
  </si>
  <si>
    <t>U4169Purchase2005</t>
  </si>
  <si>
    <t>Varekost kasse Other Instore Services / Diverse butikk</t>
  </si>
  <si>
    <t>Varekost kasse PCMO - Engine Oils / Motorolje</t>
  </si>
  <si>
    <t>U4169Purchase0110</t>
  </si>
  <si>
    <t>Varekost kasse Other Lubricants / Diverse smøreoljer</t>
  </si>
  <si>
    <t>Varekost kasse HDDEO - Engine Oils Heavy Duty Diesel Engine / Motorolje diesel</t>
  </si>
  <si>
    <t>U4169Purchase0170</t>
  </si>
  <si>
    <t>Varekost kasse MCO - Engine Oils / Motorolje MC</t>
  </si>
  <si>
    <t>U4169Purchase0190</t>
  </si>
  <si>
    <t>Varekost kasse Hot Drinks / Varme drikker</t>
  </si>
  <si>
    <t>Varekost kasse MASKINVASK</t>
  </si>
  <si>
    <t>Varekost kasse MASKINVASK LOJALITET</t>
  </si>
  <si>
    <t>Varekost kasse SELVVASK</t>
  </si>
  <si>
    <t>Varekost kasse Sandwiches / Smørbrød</t>
  </si>
  <si>
    <t>U4169Purchase2102</t>
  </si>
  <si>
    <t>Varekost kasse Bakery Products / Bakervarer</t>
  </si>
  <si>
    <t>U4169Purchase2103</t>
  </si>
  <si>
    <t>Varekost kasse Other Food / Diverse mat</t>
  </si>
  <si>
    <t>2105</t>
  </si>
  <si>
    <t>U4169Purchase2105</t>
  </si>
  <si>
    <t>Varekost kasse Cigarettes / Sigaretter</t>
  </si>
  <si>
    <t>Varekost kasse Cigars / Sigarer</t>
  </si>
  <si>
    <t>Varekost kasse RYO / Rulletobakk</t>
  </si>
  <si>
    <t>Varekost kasse Smokeless Tobacco / Snus</t>
  </si>
  <si>
    <t>Varekost kasse Accessories / Tilbehør</t>
  </si>
  <si>
    <t>Varekost kasse Other Tobacco / Diverse tobakk</t>
  </si>
  <si>
    <t>Varekost kasse News &amp; Magazines / Aviser og blader</t>
  </si>
  <si>
    <t>Varekost kasse Leisure / Fritid og sesongvarer</t>
  </si>
  <si>
    <t>U4169Purchase2402</t>
  </si>
  <si>
    <t>Varekost kasse General Merchandise / Generelle varer</t>
  </si>
  <si>
    <t>Varekost kasse Car Related Accessories / Bilrekvisita</t>
  </si>
  <si>
    <t>Varekost kasse Other Non-Food / Diverse non-food</t>
  </si>
  <si>
    <t>U4169Purchase2405</t>
  </si>
  <si>
    <t>Varekost kasse Bottled Gas / Propan</t>
  </si>
  <si>
    <t>Varekost kasse Car Care / Bilpleie</t>
  </si>
  <si>
    <t>Varekost kasse Carbonated / Mineralvann</t>
  </si>
  <si>
    <t>Varekost kasse PANT</t>
  </si>
  <si>
    <t>U4169Purchase2506</t>
  </si>
  <si>
    <t>Varekost kasse Still / Vann</t>
  </si>
  <si>
    <t>Varekost kasse Sport / Sportsdrikker</t>
  </si>
  <si>
    <t>Varekost kasse Energy / Energidrikker</t>
  </si>
  <si>
    <t>U4169Purchase2504</t>
  </si>
  <si>
    <t>Varekost kasse Juices / Juice</t>
  </si>
  <si>
    <t>Varekost kasse Other Non-alcoholic Beverages / Diverse mineralvann (pant)</t>
  </si>
  <si>
    <t>Varekost kasse Packaged Water /</t>
  </si>
  <si>
    <t>U4169Purchase2507</t>
  </si>
  <si>
    <t>Varekost kasse Beer / Øl</t>
  </si>
  <si>
    <t>Varekost kasse Other Alcoholic Beverages / Diverse alkoholholdig drikke</t>
  </si>
  <si>
    <t>Varekost kasse Salty snacks / Salt snack</t>
  </si>
  <si>
    <t>Varekost kasse Sweet snacks / Søt snacks</t>
  </si>
  <si>
    <t>U4169Purchase2702</t>
  </si>
  <si>
    <t>Varekost kasse Confectionary / Kiosk</t>
  </si>
  <si>
    <t>Varekost kasse Ice Cream / Iskrem</t>
  </si>
  <si>
    <t>Varekost kasse Other Snacks / Diverse kiosk og snacks</t>
  </si>
  <si>
    <t>U4169Purchase2705</t>
  </si>
  <si>
    <t>Varekost kasse Frozen Food / Frossen mat</t>
  </si>
  <si>
    <t>U4169Purchase2801</t>
  </si>
  <si>
    <t>Varekost kasse Pharmacy / Legemidler</t>
  </si>
  <si>
    <t>Varekost kasse Personal Products / Personlige produkter</t>
  </si>
  <si>
    <t>Varekost kasse Pet Food / Dyremat</t>
  </si>
  <si>
    <t>U4169Purchase2804</t>
  </si>
  <si>
    <t>Varekost kasse Dry Grocery / Tørrvarer (mat)</t>
  </si>
  <si>
    <t>U4169Purchase2805</t>
  </si>
  <si>
    <t>Varekost kasse Other Groceries / Diverse dagligvare</t>
  </si>
  <si>
    <t>U4169Purchase2806</t>
  </si>
  <si>
    <t>Varekost kasse Dairy / Meieriprodukter</t>
  </si>
  <si>
    <t>Varekost kasse Fresh Meat / Ferskt kjøtt</t>
  </si>
  <si>
    <t>U4169Purchase2902</t>
  </si>
  <si>
    <t>Varekost kasse Deli / Kjølevarer</t>
  </si>
  <si>
    <t>U4169Purchase2903</t>
  </si>
  <si>
    <t>Varekost kasse Flowers / Blomster</t>
  </si>
  <si>
    <t>U4169Purchase2904</t>
  </si>
  <si>
    <t>Varekost kasse Fruit/Salad / Frukt og salat</t>
  </si>
  <si>
    <t>U4169Purchase2905</t>
  </si>
  <si>
    <t>Varekost kasse UKJENT</t>
  </si>
  <si>
    <t>Varekost beholdningsendring BAKERI</t>
  </si>
  <si>
    <t>Varekost beholdningsendring PØLSE</t>
  </si>
  <si>
    <t>Varekost beholdningsendring HAMBURGER</t>
  </si>
  <si>
    <t>Varekost beholdningsendring PIZZA</t>
  </si>
  <si>
    <t>Varekost beholdningsendring OPPVARMET</t>
  </si>
  <si>
    <t>Varekost beholdningsendring PÅSMURT</t>
  </si>
  <si>
    <t>Varekost beholdningsendring DRIKKE SERVERING</t>
  </si>
  <si>
    <t>Varekost beholdningsendring ANDRE SERVERINGER</t>
  </si>
  <si>
    <t>Varekost beholdningsendring IS SERVERING</t>
  </si>
  <si>
    <t>Varekost beholdningsendring DIVERSE MAT</t>
  </si>
  <si>
    <t>Varekost beholdningsendring KAFFE</t>
  </si>
  <si>
    <t>Varekost beholdningsendring KAFFELOJALITET</t>
  </si>
  <si>
    <t>Varekost beholdningsendring TE/KAKAO/ANNET</t>
  </si>
  <si>
    <t>Varekost beholdningsendring BRUS</t>
  </si>
  <si>
    <t>Varekost beholdningsendring TRENDDRIKKE</t>
  </si>
  <si>
    <t>Varekost beholdningsendring ENERGI DRIKKE</t>
  </si>
  <si>
    <t>Varekost beholdningsendring VANN MED OG UTEN KULLSYRE</t>
  </si>
  <si>
    <t>Varekost beholdningsendring ANNEN DRIKKE</t>
  </si>
  <si>
    <t>Varekost beholdningsendring SJOKOLADE</t>
  </si>
  <si>
    <t>Varekost beholdningsendring GODTERI</t>
  </si>
  <si>
    <t>Varekost beholdningsendring SNACKS</t>
  </si>
  <si>
    <t>Varekost beholdningsendring LØSVEKT</t>
  </si>
  <si>
    <t>Varekost beholdningsendring ISKREM</t>
  </si>
  <si>
    <t>Varekost beholdningsendring SESONG / KAMPANJE</t>
  </si>
  <si>
    <t>Varekost beholdningsendring DAGLIGVARE SPISELIG</t>
  </si>
  <si>
    <t>Varekost beholdningsendring SIGARETTER</t>
  </si>
  <si>
    <t>Varekost beholdningsendring SNUS</t>
  </si>
  <si>
    <t>Varekost beholdningsendring ANNEN TOBAKK</t>
  </si>
  <si>
    <t>Varekost beholdningsendring UTSTYR OG KLÆR</t>
  </si>
  <si>
    <t>Varekost beholdningsendring SESONG</t>
  </si>
  <si>
    <t>Varekost beholdningsendring BILPLEIE</t>
  </si>
  <si>
    <t>Varekost beholdningsendring BILTILBEHØR OG VEDLIKEHOLD</t>
  </si>
  <si>
    <t>Varekost beholdningsendring MASKINVASK</t>
  </si>
  <si>
    <t>Varekost beholdningsendring MASKINVASK LOJALITET</t>
  </si>
  <si>
    <t>Varekost beholdningsendring SELVVASK</t>
  </si>
  <si>
    <t>Serveringstilbehør BRUS</t>
  </si>
  <si>
    <t>Serveringstilbehør ISKREM</t>
  </si>
  <si>
    <t>Serveringstilbehør Personal Products / Personlige produkter</t>
  </si>
  <si>
    <t>U4169PurchaseWaste</t>
  </si>
  <si>
    <t>U4169PurchaseWaste1201</t>
  </si>
  <si>
    <t>Kast Varer KAFFE</t>
  </si>
  <si>
    <t>U4169PurchaseWaste2101</t>
  </si>
  <si>
    <t>U4169PurchaseWaste2704</t>
  </si>
  <si>
    <t>U4169PurchaseWaste2901</t>
  </si>
  <si>
    <t>U4169PurchaseWaste2905</t>
  </si>
  <si>
    <t>U SaleriesFixed</t>
  </si>
  <si>
    <t>U4169SaleriesFixed</t>
  </si>
  <si>
    <t>U4169SaleriesVacation</t>
  </si>
  <si>
    <t>U4169Benefits</t>
  </si>
  <si>
    <t>U4169SocialSecuritySaleries</t>
  </si>
  <si>
    <t>U4169SocialSecurityVacation</t>
  </si>
  <si>
    <t>Personalmøter</t>
  </si>
  <si>
    <t>Bedriftshelsetjeneste</t>
  </si>
  <si>
    <t>Avskrivning bygg</t>
  </si>
  <si>
    <t>U4169Depreciation</t>
  </si>
  <si>
    <t>Avskrivning bygningsmessig anlegg</t>
  </si>
  <si>
    <t>Frakt, toll, spedisjon</t>
  </si>
  <si>
    <t>U4169OtherCost</t>
  </si>
  <si>
    <t>Strøm &amp; energi</t>
  </si>
  <si>
    <t>Energi &amp; vannavg.</t>
  </si>
  <si>
    <t>U4169ElectricityWaterCost</t>
  </si>
  <si>
    <t>Vann &amp; komm. Avgifter</t>
  </si>
  <si>
    <t>U4169CleaningSewer</t>
  </si>
  <si>
    <t>Stasjonsvederlag stasjon fast</t>
  </si>
  <si>
    <t>Leie</t>
  </si>
  <si>
    <t>U4169FranchiseFee</t>
  </si>
  <si>
    <t>U4169Leasing</t>
  </si>
  <si>
    <t>Andre leasing / Leiekostnader</t>
  </si>
  <si>
    <t>U4169EquipmentTools</t>
  </si>
  <si>
    <t>U4169Computer</t>
  </si>
  <si>
    <t>U4169Consumables</t>
  </si>
  <si>
    <t>U4169Maintenance</t>
  </si>
  <si>
    <t>Data og lisenskostnad</t>
  </si>
  <si>
    <t>U4169ServicesSecurity</t>
  </si>
  <si>
    <t>Andre honorarer</t>
  </si>
  <si>
    <t>U4169OfficeSupplies</t>
  </si>
  <si>
    <t>Avis &amp; tidskrift</t>
  </si>
  <si>
    <t>U4169Phone</t>
  </si>
  <si>
    <t>Rep. og vedlikehold personbil</t>
  </si>
  <si>
    <t>Bilutgifter</t>
  </si>
  <si>
    <t>U4169CarExpenses</t>
  </si>
  <si>
    <t>Annen bilkostnad personbil</t>
  </si>
  <si>
    <t>Annen bilkostnad varebil</t>
  </si>
  <si>
    <t>Annen bilkostnad bergningsbil, tankbil</t>
  </si>
  <si>
    <t>U4169TravelMeetings</t>
  </si>
  <si>
    <t>Billetter</t>
  </si>
  <si>
    <t>Reisekostnad,lav sats mva, ikke opplysningspliktig, ikke trekkpliktig</t>
  </si>
  <si>
    <t>U4169Advertising</t>
  </si>
  <si>
    <t>Reklamekostnad u/mva</t>
  </si>
  <si>
    <t>Annet ikke fradragsberettiget</t>
  </si>
  <si>
    <t>U4169Insurance</t>
  </si>
  <si>
    <t>Forsikringspremier annet</t>
  </si>
  <si>
    <t>U4169CardFees</t>
  </si>
  <si>
    <t>U4169CardFeesCRT</t>
  </si>
  <si>
    <t>U4169CashDifference</t>
  </si>
  <si>
    <t>U4169Losses</t>
  </si>
  <si>
    <t>U4169TheftClaims</t>
  </si>
  <si>
    <t>Renteinntekter skattefrie</t>
  </si>
  <si>
    <t>804K_ANNEN RENTEINNTEKT</t>
  </si>
  <si>
    <t>U4169FinancialIncome</t>
  </si>
  <si>
    <t>Renteinntekter bank</t>
  </si>
  <si>
    <t>Renteutgifter bank</t>
  </si>
  <si>
    <t>U4169FinancialExpenses</t>
  </si>
  <si>
    <t>Udisponert resultat</t>
  </si>
  <si>
    <t>830K_SKATTEKOSTNAD PÅ ORD RES</t>
  </si>
  <si>
    <t>U4169UnappropriatedSurplus</t>
  </si>
  <si>
    <t>Korreksjonsskatt</t>
  </si>
  <si>
    <t>Avsatt konsernbidrag</t>
  </si>
  <si>
    <t>893K_KONSERNBIDRAG</t>
  </si>
  <si>
    <t>Overført annen egenkapital</t>
  </si>
  <si>
    <t>896K_OVERFØRINGER ANNEN EK</t>
  </si>
  <si>
    <t>Volum Hand Wash / Selvvask</t>
  </si>
  <si>
    <t>140K_</t>
  </si>
  <si>
    <t>U4169Volume1101</t>
  </si>
  <si>
    <t>Volum Roll Over / Maskinvask</t>
  </si>
  <si>
    <t>U4169Volume1102</t>
  </si>
  <si>
    <t>Volum Food Preparation On Site / Hurtigmat</t>
  </si>
  <si>
    <t>U4169Volume</t>
  </si>
  <si>
    <t>Volum BAKERI</t>
  </si>
  <si>
    <t>U4169Volume1201</t>
  </si>
  <si>
    <t>Volum PØLSE</t>
  </si>
  <si>
    <t>Volum HAMBURGER</t>
  </si>
  <si>
    <t>Volum PIZZA</t>
  </si>
  <si>
    <t>Volum OPPVARMET</t>
  </si>
  <si>
    <t>Volum PÅSMURT</t>
  </si>
  <si>
    <t>Volum DRIKKE SERVERING</t>
  </si>
  <si>
    <t>Volum ANDRE SERVERINGER</t>
  </si>
  <si>
    <t>Volum IS SERVERING</t>
  </si>
  <si>
    <t>Volum KAFFE</t>
  </si>
  <si>
    <t>U4169Volume2101</t>
  </si>
  <si>
    <t>Volum KAFFELOJALITET</t>
  </si>
  <si>
    <t>Volum TE/KAKAO/ANNET</t>
  </si>
  <si>
    <t>Volum Unleaded High Octane / Blyfri 98 - VPR99</t>
  </si>
  <si>
    <t>U4169Volume1002</t>
  </si>
  <si>
    <t>Volum Unleaded Medium Octane / Blyfri 95</t>
  </si>
  <si>
    <t>U4169Volume1005</t>
  </si>
  <si>
    <t>Volum BRUS</t>
  </si>
  <si>
    <t>U4169Volume2501</t>
  </si>
  <si>
    <t>Volum TRENDDRIKKE</t>
  </si>
  <si>
    <t>Volum ENERGI DRIKKE</t>
  </si>
  <si>
    <t>U4169Volume2503</t>
  </si>
  <si>
    <t>Volum VANN MED OG UTEN KULLSYRE</t>
  </si>
  <si>
    <t>U4169Volume2502</t>
  </si>
  <si>
    <t>Volum ANNEN DRIKKE</t>
  </si>
  <si>
    <t>U4169Volume2505</t>
  </si>
  <si>
    <t>Volum Car and other repairs and spare parts / Verksted</t>
  </si>
  <si>
    <t>U4169Volume1402</t>
  </si>
  <si>
    <t>Volum On-Road Automotive Gas Oil / Diesel</t>
  </si>
  <si>
    <t>U4169Volume1001</t>
  </si>
  <si>
    <t>Volum On-Road Automotive Gas Oil / V-power Diesel</t>
  </si>
  <si>
    <t>U4169Volume1007</t>
  </si>
  <si>
    <t>Volum Off-Road Automative Gas Oil / Avgiftsfri diesel</t>
  </si>
  <si>
    <t>U4169Volume1006</t>
  </si>
  <si>
    <t>Volum SJOKOLADE</t>
  </si>
  <si>
    <t>U4169Volume2703</t>
  </si>
  <si>
    <t>Volum GODTERI</t>
  </si>
  <si>
    <t>Volum SNACKS</t>
  </si>
  <si>
    <t>U4169Volume2701</t>
  </si>
  <si>
    <t>Volum LØSVEKT</t>
  </si>
  <si>
    <t>Volum ISKREM</t>
  </si>
  <si>
    <t>U4169Volume2704</t>
  </si>
  <si>
    <t>Volum SESONG / KAMPANJE</t>
  </si>
  <si>
    <t>Volum DAGLIGVARE SPISELIG</t>
  </si>
  <si>
    <t>U4169Volume2901</t>
  </si>
  <si>
    <t>Volum DAGLIGVARE IKKE SPISELIG</t>
  </si>
  <si>
    <t>U4169Volume2803</t>
  </si>
  <si>
    <t>Volum APOTEKVARER</t>
  </si>
  <si>
    <t>U4169Volume2802</t>
  </si>
  <si>
    <t>Volum TJENESTER</t>
  </si>
  <si>
    <t>U4169Volume2006</t>
  </si>
  <si>
    <t>Volum BILLETTER</t>
  </si>
  <si>
    <t>Volum SIGARETTER</t>
  </si>
  <si>
    <t>U4169Volume2201</t>
  </si>
  <si>
    <t>Volum SNUS</t>
  </si>
  <si>
    <t>U4169Volume2204</t>
  </si>
  <si>
    <t>Volum ANNEN TOBAKK</t>
  </si>
  <si>
    <t>U4169Volume2202</t>
  </si>
  <si>
    <t>Volum AVISER</t>
  </si>
  <si>
    <t>U4169Volume2401</t>
  </si>
  <si>
    <t>Volum BLADER/BØKER KULTUR MED MVA</t>
  </si>
  <si>
    <t>Volum UTSTYR OG KLÆR</t>
  </si>
  <si>
    <t>U4169Volume2403</t>
  </si>
  <si>
    <t>Volum ELEKTRONIKK</t>
  </si>
  <si>
    <t>Volum SESONG</t>
  </si>
  <si>
    <t>Volum GASS</t>
  </si>
  <si>
    <t>U4169Volume2406</t>
  </si>
  <si>
    <t>Volum BRENSEL</t>
  </si>
  <si>
    <t>Volum BILPLEIE</t>
  </si>
  <si>
    <t>U4169Volume2407</t>
  </si>
  <si>
    <t>Volum ADBLUE</t>
  </si>
  <si>
    <t>U4169Volume2404</t>
  </si>
  <si>
    <t>Volum BILTILBEHØR OG VEDLIKEHOLD</t>
  </si>
  <si>
    <t>Volum SMØREOLJE</t>
  </si>
  <si>
    <t>U4169Volume0140</t>
  </si>
  <si>
    <t>Volum VERKSTED</t>
  </si>
  <si>
    <t>Volum DEKK &amp; FELG</t>
  </si>
  <si>
    <t>Volum Other Instore Services / Diverse butikk</t>
  </si>
  <si>
    <t>Volum Other Lubricants / Diverse smøreoljer</t>
  </si>
  <si>
    <t>Volum Hot Drinks / Varme drikker</t>
  </si>
  <si>
    <t>Volum MASKINVASK</t>
  </si>
  <si>
    <t>Volum MASKINVASK LOJALITET</t>
  </si>
  <si>
    <t>Volum SELVVASK</t>
  </si>
  <si>
    <t>Volum Cigarettes / Sigaretter</t>
  </si>
  <si>
    <t>Volum Cigars / Sigarer</t>
  </si>
  <si>
    <t>Volum RYO / Rulletobakk</t>
  </si>
  <si>
    <t>Volum Smokeless Tobacco / Snus</t>
  </si>
  <si>
    <t>Volum Accessories / Tilbehør</t>
  </si>
  <si>
    <t>Volum News &amp; Magazines / Aviser og blader</t>
  </si>
  <si>
    <t>Volum General Merchandise / Generelle varer</t>
  </si>
  <si>
    <t>Volum Car Related Accessories / Bilrekvisita</t>
  </si>
  <si>
    <t>Volum Bottled Gas / Propan</t>
  </si>
  <si>
    <t>Volum Car Care / Bilpleie</t>
  </si>
  <si>
    <t>Volum Carbonated / Mineralvann</t>
  </si>
  <si>
    <t>Volum PANT</t>
  </si>
  <si>
    <t>U4169Volume2506</t>
  </si>
  <si>
    <t>Volum Still / Vann</t>
  </si>
  <si>
    <t>Volum Sport / Sportsdrikker</t>
  </si>
  <si>
    <t>Volum Juices / Juice</t>
  </si>
  <si>
    <t>Volum Other Non-alcoholic Beverages / Diverse mineralvann (pant)</t>
  </si>
  <si>
    <t>Volum Salty snacks / Salt snack</t>
  </si>
  <si>
    <t>Volum Confectionary / Kiosk</t>
  </si>
  <si>
    <t>Volum Ice Cream / Iskrem</t>
  </si>
  <si>
    <t>Volum Frozen Food / Frossen mat</t>
  </si>
  <si>
    <t>U4169Volume2801</t>
  </si>
  <si>
    <t>Volum Pharmacy / Legemidler</t>
  </si>
  <si>
    <t>Volum Personal Products / Personlige produkter</t>
  </si>
  <si>
    <t>Volum Dry Grocery / Tørrvarer (mat)</t>
  </si>
  <si>
    <t>U4169Volume2805</t>
  </si>
  <si>
    <t>Volum Other Groceries / Diverse dagligvare</t>
  </si>
  <si>
    <t>U4169Volume2806</t>
  </si>
  <si>
    <t>Volum Dairy / Meieriprodukter</t>
  </si>
  <si>
    <t>Volum Flowers / Blomster</t>
  </si>
  <si>
    <t>U4169Volume2904</t>
  </si>
  <si>
    <t>Volum Fruit/Salad / Frukt og salat</t>
  </si>
  <si>
    <t>U4169Volume2905</t>
  </si>
  <si>
    <t>Volum UKJENT</t>
  </si>
  <si>
    <t>Literavvik Unleaded High Octane / Blyfri 98 - VPR99</t>
  </si>
  <si>
    <t>Drivstoff literavvik</t>
  </si>
  <si>
    <t>U4169FuelsLoss1002</t>
  </si>
  <si>
    <t>Literavvik Unleaded Medium Octane / Blyfri 95</t>
  </si>
  <si>
    <t>U4169FuelsLoss1005</t>
  </si>
  <si>
    <t>Literavvik On-Road Automotive Gas Oil / Diesel</t>
  </si>
  <si>
    <t>U4169FuelsLoss1001</t>
  </si>
  <si>
    <t>Literavvik On-Road Automotive Gas Oil / V-power Diesel</t>
  </si>
  <si>
    <t>U4169FuelsLoss1007</t>
  </si>
  <si>
    <t>Literavvik Off-Road Automative Gas Oil / Avgiftsfri diesel</t>
  </si>
  <si>
    <t>U4169FuelsLoss1006</t>
  </si>
  <si>
    <t>motkonto 9xxx</t>
  </si>
  <si>
    <t>U4169Dummy</t>
  </si>
  <si>
    <t>R8Gr3Txt</t>
  </si>
  <si>
    <t>1201 Hurtigmat</t>
  </si>
  <si>
    <t>2102 Smørbrød</t>
  </si>
  <si>
    <t>2103 Bakervarer</t>
  </si>
  <si>
    <t>2105 Diverse mat</t>
  </si>
  <si>
    <t>12016 DRIKKE SERVERING</t>
  </si>
  <si>
    <t>120</t>
  </si>
  <si>
    <t>2101 Varme drikker</t>
  </si>
  <si>
    <t>130</t>
  </si>
  <si>
    <t>2502 Vann</t>
  </si>
  <si>
    <t>2503 Sportsdrikker</t>
  </si>
  <si>
    <t>2504 Energidrikker</t>
  </si>
  <si>
    <t>2505 Juice</t>
  </si>
  <si>
    <t>2507 Packaged Water /</t>
  </si>
  <si>
    <t>140</t>
  </si>
  <si>
    <t>2601 Øl</t>
  </si>
  <si>
    <t>150 Alkoholholdig drikke</t>
  </si>
  <si>
    <t>2604 Diverse alkoholholdig drikke</t>
  </si>
  <si>
    <t>150</t>
  </si>
  <si>
    <t>2701 Salt snack</t>
  </si>
  <si>
    <t>2702 Søt snacks</t>
  </si>
  <si>
    <t>2703 Kiosk</t>
  </si>
  <si>
    <t>2704 Iskrem</t>
  </si>
  <si>
    <t>2705 Diverse kiosk og snacks</t>
  </si>
  <si>
    <t>160</t>
  </si>
  <si>
    <t>2002 Lotteri, bingo etc</t>
  </si>
  <si>
    <t>2005 Billetter</t>
  </si>
  <si>
    <t>2006 Diverse butikk</t>
  </si>
  <si>
    <t>2405 Diverse non-food</t>
  </si>
  <si>
    <t>2801 Frossen mat</t>
  </si>
  <si>
    <t>2802 Legemidler</t>
  </si>
  <si>
    <t>2803 Personlige produkter</t>
  </si>
  <si>
    <t>2804 Dyremat</t>
  </si>
  <si>
    <t>2805 Tørrvarer (mat)</t>
  </si>
  <si>
    <t>2806 Diverse dagligvare</t>
  </si>
  <si>
    <t>2901 Meieriprodukter</t>
  </si>
  <si>
    <t>2902 Ferskt kjøtt</t>
  </si>
  <si>
    <t>2903 Kjølevarer</t>
  </si>
  <si>
    <t>2905 Frukt og salat</t>
  </si>
  <si>
    <t>17014 BILLETTER</t>
  </si>
  <si>
    <t>170</t>
  </si>
  <si>
    <t>2201 Sigaretter</t>
  </si>
  <si>
    <t>2202 Sigarer</t>
  </si>
  <si>
    <t>2203 Rulletobakk</t>
  </si>
  <si>
    <t>2204 Snus</t>
  </si>
  <si>
    <t>2205 Tilbehør</t>
  </si>
  <si>
    <t>2206 Diverse tobakk</t>
  </si>
  <si>
    <t>180</t>
  </si>
  <si>
    <t>2401 Aviser og blader</t>
  </si>
  <si>
    <t>2402 Fritid og sesongvarer</t>
  </si>
  <si>
    <t>2403 Generelle varer</t>
  </si>
  <si>
    <t>2406 Propan</t>
  </si>
  <si>
    <t>190</t>
  </si>
  <si>
    <t>1301 Service og arbeid</t>
  </si>
  <si>
    <t>1402 Verksted</t>
  </si>
  <si>
    <t>2010 Motorolje</t>
  </si>
  <si>
    <t>2040 Diverse smøreoljer</t>
  </si>
  <si>
    <t>2070 Motorolje diesel</t>
  </si>
  <si>
    <t>2090 Motorolje MC</t>
  </si>
  <si>
    <t>2404 Bilrekvisita</t>
  </si>
  <si>
    <t>2407 Bilpleie</t>
  </si>
  <si>
    <t>20015 DEKK &amp; FELG</t>
  </si>
  <si>
    <t>200</t>
  </si>
  <si>
    <t>1102 Maskinvask</t>
  </si>
  <si>
    <t>1104 Diverse bilvask</t>
  </si>
  <si>
    <t>210</t>
  </si>
  <si>
    <t>1101 Selvvask</t>
  </si>
  <si>
    <t>211</t>
  </si>
  <si>
    <t>1401 Bil og hengerutleie</t>
  </si>
  <si>
    <t>220</t>
  </si>
  <si>
    <t>99910 UKJENT</t>
  </si>
  <si>
    <t>240</t>
  </si>
  <si>
    <t>250</t>
  </si>
  <si>
    <t>40</t>
  </si>
  <si>
    <t>[Varegruppe mangler]</t>
  </si>
  <si>
    <t xml:space="preserve">  </t>
  </si>
  <si>
    <t>[Varegruppe Gr1 mangler]</t>
  </si>
  <si>
    <t>&lt;&gt;</t>
  </si>
  <si>
    <t>310</t>
  </si>
  <si>
    <t>310 Salg kasse</t>
  </si>
  <si>
    <t>410</t>
  </si>
  <si>
    <t>410 Varekost kasse</t>
  </si>
  <si>
    <t>500</t>
  </si>
  <si>
    <t>621</t>
  </si>
  <si>
    <t>621 Leie</t>
  </si>
  <si>
    <t>626</t>
  </si>
  <si>
    <t>626 Energi &amp; vannavg.</t>
  </si>
  <si>
    <t>738</t>
  </si>
  <si>
    <t>738 Bilutgifter</t>
  </si>
  <si>
    <t>772</t>
  </si>
  <si>
    <t>772 CRT kortgebyr</t>
  </si>
  <si>
    <t>624</t>
  </si>
  <si>
    <t>810</t>
  </si>
  <si>
    <t>810 Fin. utgifter</t>
  </si>
  <si>
    <t>4169 Kopervik Bensin og Storkiosk AS</t>
  </si>
  <si>
    <t xml:space="preserve">517 Kopervik bensin og storkiosk AS - 83441    </t>
  </si>
  <si>
    <t>Nøkkeltall pr avdeling
periode 01.12.2022 - 31.12.2022</t>
  </si>
  <si>
    <t>Volum vs i fjor (m3)</t>
  </si>
  <si>
    <t>CR omsetning avvik mot i fjor</t>
  </si>
  <si>
    <t>Lønnskost vs i fjor</t>
  </si>
  <si>
    <t>Nøkkeltall pr avdeling
hittil 01.01.2022 - 31.12.2022</t>
  </si>
  <si>
    <t>Resultatsrapport periode  01.12.2022 - 31.12.2022</t>
  </si>
  <si>
    <t>Resultatsrapport hittil i år  01.01.2022 - 31.12.2022</t>
  </si>
  <si>
    <t>Literavvik</t>
  </si>
  <si>
    <t>Totalsum</t>
  </si>
  <si>
    <t>625 Annen husleie</t>
  </si>
  <si>
    <t>Rapportlinje</t>
  </si>
  <si>
    <t>Periode</t>
  </si>
  <si>
    <t>Summer av Beløp</t>
  </si>
  <si>
    <t>Dobbeltklikk for å se detaljer</t>
  </si>
  <si>
    <t>Kostnader 517 Kopervik bensin og storkiosk AS</t>
  </si>
  <si>
    <t>(Alle)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</si>
</sst>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44" formatCode="_ &quot;kr&quot;\ * #,##0.00_ ;_ &quot;kr&quot;\ * \-#,##0.00_ ;_ &quot;kr&quot;\ * &quot;-&quot;??_ ;_ @_ "/>
    <numFmt numFmtId="164" formatCode="_(* #,##0.00_);_(* \(#,##0.00\);_(* &quot;-&quot;??_);_(@_)"/>
    <numFmt numFmtId="165" formatCode="0.0\ %"/>
    <numFmt numFmtId="166" formatCode="0.0"/>
    <numFmt numFmtId="167" formatCode="&quot;kr&quot;\ #,##0"/>
    <numFmt numFmtId="168" formatCode="#,##0.0,&quot; &quot;;\-#,##0.0,&quot; &quot;;&quot;-   &quot;"/>
    <numFmt numFmtId="169" formatCode="#,##0.0&quot; &quot;;\-#,##0.0&quot; &quot;;&quot;-   &quot;"/>
    <numFmt numFmtId="170" formatCode="#,##0.00&quot; &quot;;\-#,##0.00&quot; &quot;;&quot;-   &quot;"/>
    <numFmt numFmtId="171" formatCode="#,##0.00%&quot; &quot;;\-#,##0.00%&quot; &quot;;&quot;-   &quot;"/>
    <numFmt numFmtId="172" formatCode=";;;"/>
    <numFmt numFmtId="173" formatCode="#,##0.00;\-#,##0.00;"/>
    <numFmt numFmtId="174" formatCode="_ \k&quot;kr&quot;\ * #,##0.0,_ ;_ \k&quot;kr&quot;\ * \-#,##0.0,_ ;_ \k&quot;kr&quot;\ * &quot;-&quot;??_ ;_ @_ "/>
    <numFmt numFmtId="175" formatCode="_ &quot;m3&quot;\ * #,##0.0,_ ;_ &quot;m3&quot;\ * \-#,##0.0,_ ;_ &quot;m3&quot;\ * &quot;-&quot;??_ ;_ @_ "/>
    <numFmt numFmtId="176" formatCode="_ &quot;kr&quot;\ * #,##0_ ;_ &quot;kr&quot;\ * \-#,##0_ ;_ &quot;kr&quot;\ * &quot;-&quot;??_ ;_ @_ "/>
    <numFmt numFmtId="177" formatCode="dd/mm;;;"/>
    <numFmt numFmtId="178" formatCode="0.0\ %_ ;\-0.0\ %_ ;&quot;-   &quot;"/>
    <numFmt numFmtId="179" formatCode="General;;"/>
    <numFmt numFmtId="180" formatCode="_ &quot;tim&quot;\ * #,##0_ ;_ &quot;tim&quot;\ * \-#,##0_ ;_ &quot;tim&quot;\ * &quot;-&quot;??_ ;_ @_ "/>
    <numFmt numFmtId="182" formatCode="#,##0;\-#,##0;&quot; -  &quot;"/>
    <numFmt numFmtId="185" formatCode="#,##0;\-#,##0;"/>
    <numFmt numFmtId="188" formatCode="#,##0.00,&quot; &quot;;\-#,##0.00,&quot; &quot;;&quot;-   &quot;"/>
    <numFmt numFmtId="189" formatCode="#,##0.00_ ;\-#,##0.00\ "/>
    <numFmt numFmtId="190" formatCode="#,##0,&quot; &quot;;\-#,##0,&quot; &quot;;&quot;-   &quot;"/>
    <numFmt numFmtId="191" formatCode="#,##0.00;\-#,##0.00;&quot; - &quot;"/>
    <numFmt numFmtId="192" formatCode="0.00;\-0.00;&quot; - &quot;"/>
    <numFmt numFmtId="193" formatCode="dd/mm/yyyy;;;"/>
    <numFmt numFmtId="194" formatCode="#,##0.0,;\-#,##0.0,;&quot; - &quot;"/>
    <numFmt numFmtId="195" formatCode="#,##0.0;\-#,##0.0;&quot; - &quot;"/>
    <numFmt numFmtId="196" formatCode="#,##0;\-#,##0;&quot; - &quot;"/>
    <numFmt numFmtId="197" formatCode="dd/mm/yyyy;;"/>
    <numFmt numFmtId="200" formatCode="0000_ 00"/>
    <numFmt numFmtId="201" formatCode="&quot;    &quot;@"/>
    <numFmt numFmtId="202" formatCode="&quot;  &quot;@"/>
    <numFmt numFmtId="203" formatCode="#,##0"/>
    <numFmt numFmtId="204" formatCode="General"/>
  </numFmts>
  <fonts count="70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b/>
      <sz val="8"/>
      <color indexed="56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8"/>
      <color indexed="16"/>
      <name val="Arial Narrow"/>
      <family val="2"/>
    </font>
    <font>
      <i/>
      <sz val="8"/>
      <color indexed="63"/>
      <name val="Arial"/>
      <family val="2"/>
    </font>
    <font>
      <i/>
      <sz val="8"/>
      <color indexed="16"/>
      <name val="Arial"/>
      <family val="2"/>
    </font>
    <font>
      <b/>
      <sz val="12"/>
      <color indexed="16"/>
      <name val="Arial"/>
      <family val="2"/>
    </font>
    <font>
      <sz val="9"/>
      <name val="Calibri"/>
      <family val="2"/>
      <scheme val="minor"/>
    </font>
    <font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 tint="0.34999001026153564"/>
      <name val="Calibri"/>
      <family val="2"/>
      <scheme val="minor"/>
    </font>
    <font>
      <b/>
      <i/>
      <sz val="9"/>
      <color theme="1" tint="0.34999001026153564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000000"/>
      <name val="Tahoma"/>
      <family val="2"/>
    </font>
    <font>
      <sz val="8"/>
      <color rgb="FF0070C0"/>
      <name val="Arial"/>
      <family val="2"/>
    </font>
    <font>
      <b/>
      <sz val="8"/>
      <color theme="8" tint="-0.4999699890613556"/>
      <name val="Arial"/>
      <family val="2"/>
    </font>
    <font>
      <sz val="8"/>
      <color theme="8" tint="-0.4999699890613556"/>
      <name val="Arial"/>
      <family val="2"/>
    </font>
    <font>
      <b/>
      <sz val="8"/>
      <color theme="9" tint="-0.4999699890613556"/>
      <name val="Arial"/>
      <family val="2"/>
    </font>
    <font>
      <sz val="8"/>
      <color theme="9" tint="-0.4999699890613556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6" tint="-0.4999699890613556"/>
      <name val="Arial"/>
      <family val="2"/>
    </font>
    <font>
      <sz val="8"/>
      <color theme="6" tint="0.5999900102615356"/>
      <name val="Arial"/>
      <family val="2"/>
    </font>
    <font>
      <u val="single"/>
      <sz val="8"/>
      <name val="Arial"/>
      <family val="2"/>
    </font>
    <font>
      <b/>
      <sz val="8"/>
      <color rgb="FFC00000"/>
      <name val="Arial"/>
      <family val="2"/>
    </font>
    <font>
      <sz val="8"/>
      <color rgb="FFC00000"/>
      <name val="Arial"/>
      <family val="2"/>
    </font>
    <font>
      <b/>
      <sz val="11"/>
      <color theme="0"/>
      <name val="Calibri"/>
      <family val="2"/>
      <scheme val="minor"/>
    </font>
    <font>
      <sz val="9"/>
      <color theme="8" tint="-0.4999699890613556"/>
      <name val="Calibri"/>
      <family val="2"/>
      <scheme val="minor"/>
    </font>
    <font>
      <b/>
      <sz val="8"/>
      <color rgb="FFFFFF00"/>
      <name val="Arial"/>
      <family val="2"/>
    </font>
    <font>
      <i/>
      <sz val="8"/>
      <color theme="1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9"/>
      <color rgb="FF333333"/>
      <name val="Calibri"/>
      <family val="2"/>
    </font>
    <font>
      <sz val="10"/>
      <color theme="1"/>
      <name val="Arial"/>
      <family val="2"/>
      <scheme val="minor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u val="single"/>
      <sz val="9"/>
      <color rgb="FF333333"/>
      <name val="Calibri"/>
      <family val="2"/>
    </font>
    <font>
      <b/>
      <u val="single"/>
      <sz val="9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5"/>
      </bottom>
    </border>
    <border>
      <left/>
      <right/>
      <top/>
      <bottom style="medium">
        <color indexed="45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23"/>
      </bottom>
    </border>
    <border>
      <left/>
      <right style="thin"/>
      <top/>
      <bottom/>
    </border>
    <border>
      <left/>
      <right/>
      <top style="thin">
        <color theme="8" tint="0.7999799847602844"/>
      </top>
      <bottom style="thin">
        <color theme="8" tint="0.7999799847602844"/>
      </bottom>
    </border>
    <border>
      <left/>
      <right/>
      <top style="thin">
        <color theme="8" tint="0.7999799847602844"/>
      </top>
      <bottom style="thin">
        <color theme="8"/>
      </bottom>
    </border>
    <border>
      <left/>
      <right/>
      <top style="thin">
        <color theme="8" tint="0.7999799847602844"/>
      </top>
      <bottom/>
    </border>
    <border>
      <left/>
      <right/>
      <top style="thin">
        <color theme="8"/>
      </top>
      <bottom style="thin">
        <color theme="8"/>
      </bottom>
    </border>
    <border>
      <left/>
      <right/>
      <top style="thin">
        <color theme="9" tint="-0.24993999302387238"/>
      </top>
      <bottom style="thin">
        <color theme="9" tint="-0.24993999302387238"/>
      </bottom>
    </border>
    <border>
      <left/>
      <right/>
      <top style="thin">
        <color theme="9" tint="0.7999799847602844"/>
      </top>
      <bottom style="thin">
        <color theme="9" tint="0.7999799847602844"/>
      </bottom>
    </border>
    <border>
      <left/>
      <right/>
      <top style="thin">
        <color theme="6"/>
      </top>
      <bottom style="thin">
        <color theme="6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  <border>
      <left/>
      <right/>
      <top style="thin">
        <color theme="6"/>
      </top>
      <bottom/>
    </border>
    <border>
      <left/>
      <right/>
      <top/>
      <bottom style="thin"/>
    </border>
    <border>
      <left/>
      <right/>
      <top style="thin">
        <color theme="8"/>
      </top>
      <bottom style="thin">
        <color theme="8" tint="0.7999799847602844"/>
      </bottom>
    </border>
    <border>
      <left style="hair">
        <color theme="0" tint="-0.04997999966144562"/>
      </left>
      <right/>
      <top/>
      <bottom/>
    </border>
    <border>
      <left/>
      <right/>
      <top style="thin">
        <color theme="9"/>
      </top>
      <bottom style="thin">
        <color theme="9"/>
      </bottom>
    </border>
    <border>
      <left/>
      <right/>
      <top style="thin">
        <color theme="9"/>
      </top>
      <bottom style="thin">
        <color theme="8" tint="0.7999799847602844"/>
      </bottom>
    </border>
    <border>
      <left/>
      <right/>
      <top style="thin">
        <color theme="8" tint="0.7999799847602844"/>
      </top>
      <bottom style="thin">
        <color theme="9"/>
      </bottom>
    </border>
    <border>
      <left/>
      <right/>
      <top/>
      <bottom style="thin">
        <color theme="8" tint="0.7999799847602844"/>
      </bottom>
    </border>
    <border>
      <left style="hair">
        <color theme="0" tint="-0.24993999302387238"/>
      </left>
      <right/>
      <top style="thin">
        <color theme="8"/>
      </top>
      <bottom style="thin">
        <color theme="8"/>
      </bottom>
    </border>
    <border>
      <left style="hair">
        <color theme="0" tint="-0.24993999302387238"/>
      </left>
      <right/>
      <top style="thin">
        <color theme="8"/>
      </top>
      <bottom style="thin">
        <color theme="8" tint="0.7999799847602844"/>
      </bottom>
    </border>
    <border>
      <left style="hair">
        <color theme="0" tint="-0.24993999302387238"/>
      </left>
      <right/>
      <top style="thin">
        <color theme="8" tint="0.7999799847602844"/>
      </top>
      <bottom style="thin">
        <color theme="8"/>
      </bottom>
    </border>
    <border>
      <left style="hair">
        <color theme="0" tint="-0.24993999302387238"/>
      </left>
      <right/>
      <top style="thin">
        <color theme="8" tint="0.7999799847602844"/>
      </top>
      <bottom style="thin">
        <color theme="8" tint="0.7999799847602844"/>
      </bottom>
    </border>
    <border>
      <left style="hair">
        <color theme="0" tint="-0.24993999302387238"/>
      </left>
      <right/>
      <top/>
      <bottom/>
    </border>
    <border>
      <left style="hair">
        <color theme="0" tint="-0.24993999302387238"/>
      </left>
      <right/>
      <top style="thin">
        <color theme="9"/>
      </top>
      <bottom style="thin">
        <color theme="9"/>
      </bottom>
    </border>
    <border>
      <left style="hair">
        <color theme="0" tint="-0.24993999302387238"/>
      </left>
      <right/>
      <top style="thin">
        <color theme="9"/>
      </top>
      <bottom style="thin">
        <color theme="8" tint="0.7999799847602844"/>
      </bottom>
    </border>
    <border>
      <left style="hair">
        <color theme="0" tint="-0.24993999302387238"/>
      </left>
      <right/>
      <top style="thin">
        <color theme="8" tint="0.7999799847602844"/>
      </top>
      <bottom style="thin">
        <color theme="9"/>
      </bottom>
    </border>
    <border>
      <left style="hair">
        <color theme="0" tint="-0.24993999302387238"/>
      </left>
      <right/>
      <top/>
      <bottom style="thin">
        <color theme="8" tint="0.7999799847602844"/>
      </bottom>
    </border>
    <border>
      <left style="hair">
        <color theme="0" tint="-0.24993999302387238"/>
      </left>
      <right/>
      <top style="thin">
        <color theme="8" tint="0.7999799847602844"/>
      </top>
      <bottom/>
    </border>
    <border>
      <left/>
      <right/>
      <top/>
      <bottom style="thin">
        <color theme="9" tint="0.7999799847602844"/>
      </bottom>
    </border>
    <border>
      <left style="hair">
        <color theme="0" tint="-0.24993999302387238"/>
      </left>
      <right/>
      <top/>
      <bottom style="thin">
        <color theme="9" tint="0.7999799847602844"/>
      </bottom>
    </border>
    <border>
      <left style="hair">
        <color theme="0" tint="-0.24993999302387238"/>
      </left>
      <right/>
      <top style="thin">
        <color theme="9" tint="0.7999799847602844"/>
      </top>
      <bottom style="thin">
        <color theme="9" tint="0.7999799847602844"/>
      </bottom>
    </border>
    <border>
      <left/>
      <right/>
      <top style="thin">
        <color theme="9" tint="0.7999799847602844"/>
      </top>
      <bottom/>
    </border>
    <border>
      <left style="hair">
        <color theme="0" tint="-0.24993999302387238"/>
      </left>
      <right/>
      <top style="thin">
        <color theme="9" tint="0.7999799847602844"/>
      </top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8"/>
      </left>
      <right/>
      <top style="thin">
        <color theme="8"/>
      </top>
      <bottom/>
    </border>
    <border>
      <left/>
      <right/>
      <top style="thin">
        <color theme="8"/>
      </top>
      <bottom/>
    </border>
    <border>
      <left/>
      <right style="thin">
        <color theme="8"/>
      </right>
      <top style="thin">
        <color theme="8"/>
      </top>
      <bottom/>
    </border>
    <border>
      <left style="thin">
        <color theme="9"/>
      </left>
      <right/>
      <top style="thin">
        <color theme="9"/>
      </top>
      <bottom/>
    </border>
    <border>
      <left/>
      <right/>
      <top style="thin">
        <color theme="9"/>
      </top>
      <bottom/>
    </border>
    <border>
      <left/>
      <right style="thin">
        <color theme="9"/>
      </right>
      <top style="thin">
        <color theme="9"/>
      </top>
      <bottom/>
    </border>
    <border>
      <left style="hair">
        <color theme="8"/>
      </left>
      <right style="hair">
        <color theme="8"/>
      </right>
      <top/>
      <bottom/>
    </border>
    <border>
      <left style="hair">
        <color theme="8"/>
      </left>
      <right/>
      <top/>
      <bottom/>
    </border>
    <border>
      <left/>
      <right style="hair">
        <color theme="8"/>
      </right>
      <top/>
      <bottom/>
    </border>
    <border>
      <left style="hair">
        <color theme="9"/>
      </left>
      <right/>
      <top/>
      <bottom/>
    </border>
    <border>
      <left/>
      <right style="hair">
        <color theme="9"/>
      </right>
      <top/>
      <bottom/>
    </border>
    <border>
      <left style="hair">
        <color theme="9"/>
      </left>
      <right style="hair">
        <color theme="9"/>
      </right>
      <top/>
      <bottom/>
    </border>
    <border>
      <left style="thin">
        <color theme="9"/>
      </left>
      <right style="thin">
        <color theme="9"/>
      </right>
      <top style="thin">
        <color theme="9"/>
      </top>
      <bottom/>
    </border>
    <border>
      <left style="thin">
        <color theme="8"/>
      </left>
      <right style="thin">
        <color theme="8"/>
      </right>
      <top style="thin">
        <color theme="8"/>
      </top>
      <bottom/>
    </border>
    <border>
      <left/>
      <right/>
      <top style="thin">
        <color theme="6"/>
      </top>
      <bottom style="thin">
        <color theme="6" tint="0.799979984760284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/>
      <top style="thin">
        <color rgb="FF999999"/>
      </top>
      <bottom/>
    </border>
    <border>
      <left style="thin">
        <color indexed="65"/>
      </left>
      <right/>
      <top style="thin">
        <color rgb="FF999999"/>
      </top>
      <bottom/>
    </border>
    <border>
      <left style="thin">
        <color indexed="65"/>
      </left>
      <right style="thin">
        <color rgb="FF999999"/>
      </right>
      <top style="thin">
        <color rgb="FF999999"/>
      </top>
      <bottom/>
    </border>
    <border>
      <left/>
      <right/>
      <top style="thin">
        <color rgb="FF999999"/>
      </top>
      <bottom/>
    </border>
    <border>
      <left style="thin">
        <color rgb="FF999999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 style="thin">
        <color indexed="65"/>
      </left>
      <right/>
      <top style="thin">
        <color rgb="FF999999"/>
      </top>
      <bottom style="thin">
        <color rgb="FF999999"/>
      </bottom>
    </border>
    <border>
      <left/>
      <right/>
      <top style="thin">
        <color rgb="FF999999"/>
      </top>
      <bottom style="thin">
        <color rgb="FF999999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10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7" borderId="1" applyNumberForma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17" borderId="2" applyNumberFormat="0" applyAlignment="0" applyProtection="0"/>
    <xf numFmtId="0" fontId="14" fillId="0" borderId="3" applyNumberFormat="0" applyFill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18" borderId="4" applyNumberFormat="0" applyFont="0" applyAlignment="0" applyProtection="0"/>
    <xf numFmtId="0" fontId="15" fillId="19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164" fontId="0" fillId="0" borderId="0" applyFont="0" applyFill="0" applyBorder="0" applyAlignment="0" applyProtection="0"/>
    <xf numFmtId="0" fontId="16" fillId="20" borderId="9" applyNumberFormat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455">
    <xf numFmtId="0" fontId="0" fillId="0" borderId="0" xfId="0"/>
    <xf numFmtId="0" fontId="2" fillId="0" borderId="0" xfId="0" applyFont="1"/>
    <xf numFmtId="2" fontId="2" fillId="0" borderId="0" xfId="0" applyNumberFormat="1" applyFont="1"/>
    <xf numFmtId="49" fontId="2" fillId="0" borderId="0" xfId="0" applyNumberFormat="1" applyFont="1"/>
    <xf numFmtId="49" fontId="2" fillId="0" borderId="0" xfId="0" applyNumberFormat="1" applyFont="1" applyAlignment="1">
      <alignment horizontal="left" indent="1"/>
    </xf>
    <xf numFmtId="0" fontId="2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23" fillId="0" borderId="0" xfId="0" applyFont="1" applyFill="1"/>
    <xf numFmtId="172" fontId="22" fillId="0" borderId="0" xfId="0" applyNumberFormat="1" applyFont="1"/>
    <xf numFmtId="0" fontId="22" fillId="0" borderId="0" xfId="47" applyFont="1" applyFill="1" applyBorder="1" applyAlignment="1">
      <alignment/>
      <protection/>
    </xf>
    <xf numFmtId="169" fontId="22" fillId="0" borderId="0" xfId="47" applyNumberFormat="1" applyFont="1" applyFill="1" applyBorder="1" applyAlignment="1">
      <alignment/>
      <protection/>
    </xf>
    <xf numFmtId="0" fontId="22" fillId="0" borderId="0" xfId="47" applyFont="1" applyBorder="1" applyAlignment="1">
      <alignment/>
      <protection/>
    </xf>
    <xf numFmtId="0" fontId="25" fillId="0" borderId="0" xfId="0" applyFont="1"/>
    <xf numFmtId="0" fontId="25" fillId="0" borderId="0" xfId="47" applyFont="1" applyFill="1" applyBorder="1" applyAlignment="1">
      <alignment/>
      <protection/>
    </xf>
    <xf numFmtId="0" fontId="26" fillId="0" borderId="0" xfId="0" applyFont="1"/>
    <xf numFmtId="0" fontId="22" fillId="0" borderId="0" xfId="0" applyFont="1" applyFill="1" applyBorder="1" applyAlignment="1">
      <alignment/>
    </xf>
    <xf numFmtId="168" fontId="22" fillId="0" borderId="0" xfId="0" applyNumberFormat="1" applyFont="1" applyFill="1" applyBorder="1" applyAlignment="1">
      <alignment/>
    </xf>
    <xf numFmtId="168" fontId="23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182" fontId="26" fillId="0" borderId="0" xfId="0" applyNumberFormat="1" applyFont="1" applyAlignment="1">
      <alignment/>
    </xf>
    <xf numFmtId="0" fontId="28" fillId="0" borderId="0" xfId="0" applyFont="1" applyAlignment="1">
      <alignment/>
    </xf>
    <xf numFmtId="185" fontId="28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0" fontId="2" fillId="0" borderId="0" xfId="47" applyFont="1" applyBorder="1" applyAlignment="1">
      <alignment horizontal="left"/>
      <protection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vertical="top"/>
    </xf>
    <xf numFmtId="0" fontId="22" fillId="0" borderId="0" xfId="47" applyFont="1" applyBorder="1" applyAlignment="1">
      <alignment vertical="top"/>
      <protection/>
    </xf>
    <xf numFmtId="0" fontId="23" fillId="0" borderId="0" xfId="47" applyFont="1" applyBorder="1" applyAlignment="1">
      <alignment vertical="top"/>
      <protection/>
    </xf>
    <xf numFmtId="0" fontId="2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23" fillId="0" borderId="0" xfId="47" applyFont="1" applyBorder="1" applyAlignment="1">
      <alignment vertical="top" wrapText="1"/>
      <protection/>
    </xf>
    <xf numFmtId="0" fontId="2" fillId="0" borderId="0" xfId="0" applyFont="1" applyAlignment="1">
      <alignment vertical="top"/>
    </xf>
    <xf numFmtId="0" fontId="27" fillId="0" borderId="0" xfId="47" applyFont="1" applyBorder="1" applyAlignment="1">
      <alignment vertical="top"/>
      <protection/>
    </xf>
    <xf numFmtId="0" fontId="32" fillId="0" borderId="0" xfId="0" applyFont="1" applyAlignment="1">
      <alignment/>
    </xf>
    <xf numFmtId="0" fontId="30" fillId="0" borderId="0" xfId="47" applyFont="1" applyBorder="1" applyAlignment="1">
      <alignment horizontal="centerContinuous" vertical="top"/>
      <protection/>
    </xf>
    <xf numFmtId="0" fontId="31" fillId="0" borderId="0" xfId="0" applyFont="1" applyAlignment="1">
      <alignment horizontal="centerContinuous" vertical="top"/>
    </xf>
    <xf numFmtId="0" fontId="25" fillId="0" borderId="0" xfId="0" applyFont="1" applyAlignment="1">
      <alignment/>
    </xf>
    <xf numFmtId="0" fontId="33" fillId="24" borderId="0" xfId="0" applyFont="1" applyFill="1"/>
    <xf numFmtId="0" fontId="33" fillId="0" borderId="0" xfId="0" applyFont="1"/>
    <xf numFmtId="0" fontId="33" fillId="24" borderId="0" xfId="0" applyFont="1" applyFill="1" applyAlignment="1">
      <alignment horizontal="center"/>
    </xf>
    <xf numFmtId="188" fontId="33" fillId="25" borderId="11" xfId="43" applyNumberFormat="1" applyFont="1" applyFill="1" applyBorder="1" applyAlignment="1">
      <alignment horizontal="center"/>
    </xf>
    <xf numFmtId="189" fontId="33" fillId="24" borderId="0" xfId="0" applyNumberFormat="1" applyFont="1" applyFill="1"/>
    <xf numFmtId="189" fontId="33" fillId="24" borderId="0" xfId="0" applyNumberFormat="1" applyFont="1" applyFill="1" applyAlignment="1">
      <alignment horizontal="center"/>
    </xf>
    <xf numFmtId="0" fontId="34" fillId="0" borderId="0" xfId="0" applyFont="1"/>
    <xf numFmtId="190" fontId="33" fillId="24" borderId="0" xfId="0" applyNumberFormat="1" applyFont="1" applyFill="1"/>
    <xf numFmtId="0" fontId="33" fillId="0" borderId="0" xfId="0" applyFont="1" applyFill="1" applyBorder="1"/>
    <xf numFmtId="0" fontId="38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190" fontId="33" fillId="0" borderId="0" xfId="43" applyNumberFormat="1" applyFont="1" applyFill="1" applyBorder="1" applyAlignment="1">
      <alignment horizontal="center"/>
    </xf>
    <xf numFmtId="190" fontId="39" fillId="0" borderId="0" xfId="43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90" fontId="37" fillId="0" borderId="0" xfId="43" applyNumberFormat="1" applyFont="1" applyFill="1" applyBorder="1" applyAlignment="1">
      <alignment horizontal="center"/>
    </xf>
    <xf numFmtId="190" fontId="33" fillId="0" borderId="0" xfId="0" applyNumberFormat="1" applyFont="1" applyFill="1" applyBorder="1"/>
    <xf numFmtId="0" fontId="34" fillId="0" borderId="0" xfId="0" applyFont="1" applyAlignment="1">
      <alignment horizontal="center"/>
    </xf>
    <xf numFmtId="0" fontId="34" fillId="0" borderId="0" xfId="0" applyFont="1" applyFill="1" applyBorder="1"/>
    <xf numFmtId="0" fontId="43" fillId="0" borderId="0" xfId="0" applyFont="1" applyFill="1" applyBorder="1" applyAlignment="1">
      <alignment/>
    </xf>
    <xf numFmtId="168" fontId="43" fillId="0" borderId="0" xfId="0" applyNumberFormat="1" applyFont="1" applyFill="1" applyBorder="1" applyAlignment="1">
      <alignment/>
    </xf>
    <xf numFmtId="0" fontId="2" fillId="26" borderId="0" xfId="0" applyFont="1" applyFill="1"/>
    <xf numFmtId="0" fontId="2" fillId="27" borderId="0" xfId="0" applyNumberFormat="1" applyFont="1" applyFill="1"/>
    <xf numFmtId="0" fontId="2" fillId="0" borderId="0" xfId="0" applyNumberFormat="1" applyFont="1"/>
    <xf numFmtId="3" fontId="2" fillId="0" borderId="0" xfId="0" applyNumberFormat="1" applyFont="1"/>
    <xf numFmtId="168" fontId="4" fillId="28" borderId="0" xfId="0" applyNumberFormat="1" applyFont="1" applyFill="1" applyBorder="1" applyAlignment="1">
      <alignment horizontal="center" vertical="center" shrinkToFit="1"/>
    </xf>
    <xf numFmtId="168" fontId="4" fillId="29" borderId="0" xfId="0" applyNumberFormat="1" applyFont="1" applyFill="1" applyBorder="1" applyAlignment="1">
      <alignment horizontal="center" vertical="center" shrinkToFit="1"/>
    </xf>
    <xf numFmtId="0" fontId="51" fillId="0" borderId="12" xfId="0" applyFont="1" applyBorder="1" applyAlignment="1">
      <alignment horizontal="left" indent="2"/>
    </xf>
    <xf numFmtId="0" fontId="48" fillId="30" borderId="12" xfId="0" applyFont="1" applyFill="1" applyBorder="1" applyAlignment="1">
      <alignment horizontal="left"/>
    </xf>
    <xf numFmtId="168" fontId="5" fillId="28" borderId="0" xfId="0" applyNumberFormat="1" applyFont="1" applyFill="1" applyBorder="1" applyAlignment="1">
      <alignment horizontal="left" vertical="center" shrinkToFit="1"/>
    </xf>
    <xf numFmtId="0" fontId="22" fillId="0" borderId="0" xfId="47" applyFont="1" applyAlignment="1">
      <alignment/>
      <protection/>
    </xf>
    <xf numFmtId="0" fontId="23" fillId="0" borderId="0" xfId="0" applyFont="1" applyFill="1" applyBorder="1" applyAlignment="1">
      <alignment horizontal="left"/>
    </xf>
    <xf numFmtId="168" fontId="23" fillId="0" borderId="0" xfId="0" applyNumberFormat="1" applyFont="1" applyFill="1" applyBorder="1" applyAlignment="1">
      <alignment/>
    </xf>
    <xf numFmtId="168" fontId="23" fillId="0" borderId="0" xfId="47" applyNumberFormat="1" applyFont="1" applyFill="1" applyBorder="1" applyAlignment="1">
      <alignment/>
      <protection/>
    </xf>
    <xf numFmtId="168" fontId="22" fillId="0" borderId="0" xfId="47" applyNumberFormat="1" applyFont="1" applyBorder="1" applyAlignment="1">
      <alignment/>
      <protection/>
    </xf>
    <xf numFmtId="168" fontId="25" fillId="0" borderId="0" xfId="47" applyNumberFormat="1" applyFont="1" applyBorder="1" applyAlignment="1">
      <alignment/>
      <protection/>
    </xf>
    <xf numFmtId="0" fontId="25" fillId="0" borderId="0" xfId="47" applyFont="1" applyAlignment="1">
      <alignment/>
      <protection/>
    </xf>
    <xf numFmtId="0" fontId="25" fillId="0" borderId="0" xfId="0" applyFont="1" applyFill="1" applyBorder="1" applyAlignment="1">
      <alignment/>
    </xf>
    <xf numFmtId="4" fontId="25" fillId="0" borderId="0" xfId="0" applyNumberFormat="1" applyFont="1" applyBorder="1" applyAlignment="1">
      <alignment/>
    </xf>
    <xf numFmtId="0" fontId="25" fillId="0" borderId="10" xfId="0" applyFont="1" applyBorder="1" applyAlignment="1">
      <alignment/>
    </xf>
    <xf numFmtId="169" fontId="22" fillId="0" borderId="0" xfId="47" applyNumberFormat="1" applyFont="1" applyBorder="1" applyAlignment="1">
      <alignment/>
      <protection/>
    </xf>
    <xf numFmtId="169" fontId="25" fillId="0" borderId="0" xfId="47" applyNumberFormat="1" applyFont="1" applyBorder="1" applyAlignment="1">
      <alignment/>
      <protection/>
    </xf>
    <xf numFmtId="173" fontId="22" fillId="0" borderId="0" xfId="0" applyNumberFormat="1" applyFont="1" applyBorder="1" applyAlignment="1">
      <alignment/>
    </xf>
    <xf numFmtId="189" fontId="22" fillId="0" borderId="0" xfId="47" applyNumberFormat="1" applyFont="1" applyAlignment="1">
      <alignment/>
      <protection/>
    </xf>
    <xf numFmtId="0" fontId="26" fillId="0" borderId="0" xfId="47" applyFont="1" applyFill="1" applyBorder="1" applyAlignment="1">
      <alignment/>
      <protection/>
    </xf>
    <xf numFmtId="0" fontId="25" fillId="0" borderId="0" xfId="0" applyFont="1" applyAlignment="1">
      <alignment horizontal="left" indent="1"/>
    </xf>
    <xf numFmtId="3" fontId="25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179" fontId="25" fillId="0" borderId="0" xfId="0" applyNumberFormat="1" applyFont="1" applyAlignment="1">
      <alignment/>
    </xf>
    <xf numFmtId="167" fontId="25" fillId="0" borderId="0" xfId="0" applyNumberFormat="1" applyFont="1" applyAlignment="1">
      <alignment/>
    </xf>
    <xf numFmtId="182" fontId="25" fillId="0" borderId="0" xfId="0" applyNumberFormat="1" applyFont="1" applyAlignment="1">
      <alignment/>
    </xf>
    <xf numFmtId="0" fontId="2" fillId="0" borderId="0" xfId="47" applyFont="1" applyBorder="1" applyAlignment="1">
      <alignment/>
      <protection/>
    </xf>
    <xf numFmtId="168" fontId="2" fillId="0" borderId="0" xfId="47" applyNumberFormat="1" applyFont="1" applyBorder="1" applyAlignment="1">
      <alignment/>
      <protection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1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68" fontId="48" fillId="28" borderId="0" xfId="0" applyNumberFormat="1" applyFont="1" applyFill="1" applyBorder="1" applyAlignment="1">
      <alignment horizontal="left" vertical="center" shrinkToFit="1"/>
    </xf>
    <xf numFmtId="168" fontId="49" fillId="28" borderId="0" xfId="0" applyNumberFormat="1" applyFont="1" applyFill="1" applyBorder="1" applyAlignment="1">
      <alignment horizontal="center" vertical="center" shrinkToFit="1"/>
    </xf>
    <xf numFmtId="168" fontId="49" fillId="29" borderId="0" xfId="0" applyNumberFormat="1" applyFont="1" applyFill="1" applyBorder="1" applyAlignment="1">
      <alignment horizontal="center" vertical="center" shrinkToFit="1"/>
    </xf>
    <xf numFmtId="0" fontId="44" fillId="0" borderId="0" xfId="47" applyFont="1" applyFill="1" applyBorder="1" applyAlignment="1">
      <alignment/>
      <protection/>
    </xf>
    <xf numFmtId="0" fontId="44" fillId="0" borderId="0" xfId="47" applyFont="1" applyFill="1" applyBorder="1" applyAlignment="1">
      <alignment horizontal="centerContinuous"/>
      <protection/>
    </xf>
    <xf numFmtId="0" fontId="45" fillId="0" borderId="0" xfId="47" applyFont="1" applyBorder="1" applyAlignment="1">
      <alignment horizontal="centerContinuous"/>
      <protection/>
    </xf>
    <xf numFmtId="0" fontId="46" fillId="0" borderId="0" xfId="47" applyFont="1" applyFill="1" applyBorder="1" applyAlignment="1">
      <alignment horizontal="centerContinuous"/>
      <protection/>
    </xf>
    <xf numFmtId="0" fontId="47" fillId="0" borderId="0" xfId="47" applyFont="1" applyBorder="1" applyAlignment="1">
      <alignment horizontal="centerContinuous"/>
      <protection/>
    </xf>
    <xf numFmtId="0" fontId="47" fillId="0" borderId="0" xfId="47" applyFont="1" applyAlignment="1">
      <alignment horizontal="centerContinuous"/>
      <protection/>
    </xf>
    <xf numFmtId="0" fontId="52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left" indent="1"/>
    </xf>
    <xf numFmtId="0" fontId="51" fillId="0" borderId="14" xfId="0" applyFont="1" applyBorder="1" applyAlignment="1">
      <alignment horizontal="left" indent="2"/>
    </xf>
    <xf numFmtId="0" fontId="3" fillId="31" borderId="15" xfId="0" applyFont="1" applyFill="1" applyBorder="1" applyAlignment="1">
      <alignment horizontal="left" indent="1"/>
    </xf>
    <xf numFmtId="0" fontId="50" fillId="31" borderId="15" xfId="0" applyFont="1" applyFill="1" applyBorder="1" applyAlignment="1">
      <alignment horizontal="left"/>
    </xf>
    <xf numFmtId="0" fontId="50" fillId="0" borderId="15" xfId="0" applyFont="1" applyFill="1" applyBorder="1" applyAlignment="1">
      <alignment horizontal="left" indent="1"/>
    </xf>
    <xf numFmtId="0" fontId="51" fillId="0" borderId="12" xfId="0" applyFont="1" applyFill="1" applyBorder="1" applyAlignment="1">
      <alignment horizontal="left" indent="2"/>
    </xf>
    <xf numFmtId="169" fontId="4" fillId="28" borderId="0" xfId="0" applyNumberFormat="1" applyFont="1" applyFill="1" applyBorder="1" applyAlignment="1">
      <alignment horizontal="center" vertical="center" shrinkToFit="1"/>
    </xf>
    <xf numFmtId="169" fontId="4" fillId="29" borderId="0" xfId="0" applyNumberFormat="1" applyFont="1" applyFill="1" applyBorder="1" applyAlignment="1">
      <alignment horizontal="center" vertical="center" shrinkToFit="1"/>
    </xf>
    <xf numFmtId="169" fontId="50" fillId="0" borderId="15" xfId="0" applyNumberFormat="1" applyFont="1" applyFill="1" applyBorder="1"/>
    <xf numFmtId="169" fontId="50" fillId="0" borderId="16" xfId="0" applyNumberFormat="1" applyFont="1" applyFill="1" applyBorder="1"/>
    <xf numFmtId="169" fontId="51" fillId="0" borderId="12" xfId="0" applyNumberFormat="1" applyFont="1" applyFill="1" applyBorder="1"/>
    <xf numFmtId="169" fontId="51" fillId="0" borderId="17" xfId="0" applyNumberFormat="1" applyFont="1" applyFill="1" applyBorder="1"/>
    <xf numFmtId="169" fontId="50" fillId="31" borderId="15" xfId="0" applyNumberFormat="1" applyFont="1" applyFill="1" applyBorder="1"/>
    <xf numFmtId="169" fontId="50" fillId="32" borderId="16" xfId="0" applyNumberFormat="1" applyFont="1" applyFill="1" applyBorder="1"/>
    <xf numFmtId="169" fontId="2" fillId="0" borderId="0" xfId="47" applyNumberFormat="1" applyFont="1" applyBorder="1" applyAlignment="1">
      <alignment/>
      <protection/>
    </xf>
    <xf numFmtId="169" fontId="49" fillId="28" borderId="0" xfId="0" applyNumberFormat="1" applyFont="1" applyFill="1" applyBorder="1" applyAlignment="1">
      <alignment horizontal="center" vertical="center" shrinkToFit="1"/>
    </xf>
    <xf numFmtId="169" fontId="49" fillId="29" borderId="0" xfId="0" applyNumberFormat="1" applyFont="1" applyFill="1" applyBorder="1" applyAlignment="1">
      <alignment horizontal="center" vertical="center" shrinkToFit="1"/>
    </xf>
    <xf numFmtId="169" fontId="51" fillId="0" borderId="12" xfId="0" applyNumberFormat="1" applyFont="1" applyBorder="1"/>
    <xf numFmtId="169" fontId="51" fillId="0" borderId="14" xfId="0" applyNumberFormat="1" applyFont="1" applyBorder="1"/>
    <xf numFmtId="169" fontId="3" fillId="31" borderId="15" xfId="0" applyNumberFormat="1" applyFont="1" applyFill="1" applyBorder="1"/>
    <xf numFmtId="169" fontId="3" fillId="32" borderId="16" xfId="0" applyNumberFormat="1" applyFont="1" applyFill="1" applyBorder="1"/>
    <xf numFmtId="169" fontId="50" fillId="0" borderId="13" xfId="0" applyNumberFormat="1" applyFont="1" applyFill="1" applyBorder="1"/>
    <xf numFmtId="169" fontId="48" fillId="30" borderId="12" xfId="0" applyNumberFormat="1" applyFont="1" applyFill="1" applyBorder="1"/>
    <xf numFmtId="169" fontId="48" fillId="33" borderId="17" xfId="0" applyNumberFormat="1" applyFont="1" applyFill="1" applyBorder="1"/>
    <xf numFmtId="168" fontId="22" fillId="0" borderId="0" xfId="47" applyNumberFormat="1" applyFont="1" applyFill="1" applyBorder="1" applyAlignment="1">
      <alignment horizontal="center"/>
      <protection/>
    </xf>
    <xf numFmtId="168" fontId="50" fillId="0" borderId="15" xfId="0" applyNumberFormat="1" applyFont="1" applyFill="1" applyBorder="1"/>
    <xf numFmtId="168" fontId="50" fillId="0" borderId="16" xfId="0" applyNumberFormat="1" applyFont="1" applyFill="1" applyBorder="1"/>
    <xf numFmtId="168" fontId="51" fillId="0" borderId="12" xfId="0" applyNumberFormat="1" applyFont="1" applyFill="1" applyBorder="1"/>
    <xf numFmtId="168" fontId="51" fillId="0" borderId="17" xfId="0" applyNumberFormat="1" applyFont="1" applyFill="1" applyBorder="1"/>
    <xf numFmtId="168" fontId="50" fillId="31" borderId="15" xfId="0" applyNumberFormat="1" applyFont="1" applyFill="1" applyBorder="1"/>
    <xf numFmtId="168" fontId="50" fillId="32" borderId="16" xfId="0" applyNumberFormat="1" applyFont="1" applyFill="1" applyBorder="1"/>
    <xf numFmtId="168" fontId="22" fillId="0" borderId="0" xfId="47" applyNumberFormat="1" applyFont="1" applyFill="1" applyBorder="1" applyAlignment="1">
      <alignment/>
      <protection/>
    </xf>
    <xf numFmtId="168" fontId="2" fillId="0" borderId="0" xfId="47" applyNumberFormat="1" applyFont="1" applyFill="1" applyBorder="1" applyAlignment="1">
      <alignment/>
      <protection/>
    </xf>
    <xf numFmtId="168" fontId="49" fillId="0" borderId="0" xfId="47" applyNumberFormat="1" applyFont="1" applyFill="1" applyBorder="1" applyAlignment="1">
      <alignment horizontal="center"/>
      <protection/>
    </xf>
    <xf numFmtId="168" fontId="51" fillId="0" borderId="12" xfId="0" applyNumberFormat="1" applyFont="1" applyBorder="1"/>
    <xf numFmtId="168" fontId="51" fillId="0" borderId="14" xfId="0" applyNumberFormat="1" applyFont="1" applyBorder="1"/>
    <xf numFmtId="168" fontId="3" fillId="31" borderId="15" xfId="0" applyNumberFormat="1" applyFont="1" applyFill="1" applyBorder="1"/>
    <xf numFmtId="168" fontId="3" fillId="0" borderId="0" xfId="47" applyNumberFormat="1" applyFont="1" applyFill="1" applyBorder="1" applyAlignment="1">
      <alignment/>
      <protection/>
    </xf>
    <xf numFmtId="168" fontId="3" fillId="32" borderId="16" xfId="0" applyNumberFormat="1" applyFont="1" applyFill="1" applyBorder="1"/>
    <xf numFmtId="168" fontId="50" fillId="0" borderId="13" xfId="0" applyNumberFormat="1" applyFont="1" applyFill="1" applyBorder="1"/>
    <xf numFmtId="168" fontId="48" fillId="30" borderId="12" xfId="0" applyNumberFormat="1" applyFont="1" applyFill="1" applyBorder="1"/>
    <xf numFmtId="168" fontId="48" fillId="33" borderId="17" xfId="0" applyNumberFormat="1" applyFont="1" applyFill="1" applyBorder="1"/>
    <xf numFmtId="0" fontId="50" fillId="34" borderId="18" xfId="0" applyFont="1" applyFill="1" applyBorder="1" applyAlignment="1">
      <alignment horizontal="left"/>
    </xf>
    <xf numFmtId="168" fontId="5" fillId="35" borderId="0" xfId="0" applyNumberFormat="1" applyFont="1" applyFill="1" applyBorder="1" applyAlignment="1">
      <alignment horizontal="left" vertical="center" shrinkToFit="1"/>
    </xf>
    <xf numFmtId="168" fontId="4" fillId="35" borderId="0" xfId="0" applyNumberFormat="1" applyFont="1" applyFill="1" applyBorder="1" applyAlignment="1">
      <alignment horizontal="center" vertical="center" shrinkToFit="1"/>
    </xf>
    <xf numFmtId="168" fontId="51" fillId="0" borderId="19" xfId="0" applyNumberFormat="1" applyFont="1" applyFill="1" applyBorder="1"/>
    <xf numFmtId="0" fontId="53" fillId="0" borderId="0" xfId="0" applyFont="1" applyAlignment="1">
      <alignment/>
    </xf>
    <xf numFmtId="0" fontId="50" fillId="0" borderId="18" xfId="0" applyFont="1" applyFill="1" applyBorder="1" applyAlignment="1">
      <alignment horizontal="left" indent="1"/>
    </xf>
    <xf numFmtId="168" fontId="50" fillId="0" borderId="18" xfId="0" applyNumberFormat="1" applyFont="1" applyFill="1" applyBorder="1"/>
    <xf numFmtId="0" fontId="50" fillId="0" borderId="20" xfId="0" applyFont="1" applyFill="1" applyBorder="1" applyAlignment="1">
      <alignment horizontal="left" indent="1"/>
    </xf>
    <xf numFmtId="168" fontId="50" fillId="0" borderId="20" xfId="0" applyNumberFormat="1" applyFont="1" applyFill="1" applyBorder="1"/>
    <xf numFmtId="168" fontId="50" fillId="34" borderId="18" xfId="0" applyNumberFormat="1" applyFont="1" applyFill="1" applyBorder="1"/>
    <xf numFmtId="168" fontId="51" fillId="34" borderId="18" xfId="0" applyNumberFormat="1" applyFont="1" applyFill="1" applyBorder="1"/>
    <xf numFmtId="0" fontId="2" fillId="0" borderId="0" xfId="47" applyFont="1" applyAlignment="1">
      <alignment/>
      <protection/>
    </xf>
    <xf numFmtId="0" fontId="45" fillId="26" borderId="0" xfId="47" applyFont="1" applyFill="1" applyAlignment="1">
      <alignment horizontal="right" indent="1"/>
      <protection/>
    </xf>
    <xf numFmtId="0" fontId="45" fillId="26" borderId="0" xfId="0" applyNumberFormat="1" applyFont="1" applyFill="1" applyBorder="1" applyAlignment="1">
      <alignment horizontal="right" indent="1"/>
    </xf>
    <xf numFmtId="172" fontId="53" fillId="0" borderId="0" xfId="0" applyNumberFormat="1" applyFont="1" applyAlignment="1">
      <alignment/>
    </xf>
    <xf numFmtId="0" fontId="45" fillId="0" borderId="0" xfId="0" applyFont="1" applyAlignment="1">
      <alignment/>
    </xf>
    <xf numFmtId="191" fontId="45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 indent="1"/>
    </xf>
    <xf numFmtId="3" fontId="45" fillId="0" borderId="0" xfId="0" applyNumberFormat="1" applyFont="1" applyAlignment="1">
      <alignment/>
    </xf>
    <xf numFmtId="167" fontId="45" fillId="0" borderId="0" xfId="0" applyNumberFormat="1" applyFont="1" applyAlignment="1">
      <alignment/>
    </xf>
    <xf numFmtId="0" fontId="45" fillId="0" borderId="21" xfId="0" applyFont="1" applyBorder="1" applyAlignment="1">
      <alignment/>
    </xf>
    <xf numFmtId="0" fontId="51" fillId="0" borderId="12" xfId="0" applyFont="1" applyFill="1" applyBorder="1" applyAlignment="1">
      <alignment horizontal="left"/>
    </xf>
    <xf numFmtId="0" fontId="51" fillId="0" borderId="15" xfId="0" applyFont="1" applyFill="1" applyBorder="1" applyAlignment="1">
      <alignment horizontal="left"/>
    </xf>
    <xf numFmtId="0" fontId="51" fillId="0" borderId="22" xfId="0" applyFont="1" applyFill="1" applyBorder="1" applyAlignment="1">
      <alignment horizontal="left"/>
    </xf>
    <xf numFmtId="0" fontId="51" fillId="0" borderId="13" xfId="0" applyFont="1" applyFill="1" applyBorder="1" applyAlignment="1">
      <alignment horizontal="left"/>
    </xf>
    <xf numFmtId="0" fontId="5" fillId="36" borderId="0" xfId="47" applyFont="1" applyFill="1" applyBorder="1" applyAlignment="1">
      <alignment horizontal="center" vertical="center" wrapText="1"/>
      <protection/>
    </xf>
    <xf numFmtId="0" fontId="45" fillId="0" borderId="0" xfId="0" applyFont="1"/>
    <xf numFmtId="0" fontId="44" fillId="0" borderId="0" xfId="0" applyFont="1"/>
    <xf numFmtId="0" fontId="45" fillId="0" borderId="0" xfId="0" applyFont="1" applyBorder="1"/>
    <xf numFmtId="0" fontId="45" fillId="0" borderId="0" xfId="0" applyFont="1" applyFill="1" applyBorder="1"/>
    <xf numFmtId="0" fontId="22" fillId="26" borderId="0" xfId="0" applyFont="1" applyFill="1"/>
    <xf numFmtId="0" fontId="23" fillId="26" borderId="0" xfId="0" applyFont="1" applyFill="1"/>
    <xf numFmtId="0" fontId="26" fillId="26" borderId="0" xfId="0" applyFont="1" applyFill="1"/>
    <xf numFmtId="0" fontId="25" fillId="26" borderId="0" xfId="0" applyFont="1" applyFill="1"/>
    <xf numFmtId="0" fontId="47" fillId="0" borderId="0" xfId="0" applyFont="1"/>
    <xf numFmtId="0" fontId="46" fillId="0" borderId="0" xfId="0" applyFont="1"/>
    <xf numFmtId="0" fontId="47" fillId="0" borderId="0" xfId="0" applyFont="1" applyBorder="1"/>
    <xf numFmtId="0" fontId="47" fillId="0" borderId="0" xfId="0" applyFont="1" applyFill="1" applyBorder="1"/>
    <xf numFmtId="0" fontId="5" fillId="29" borderId="0" xfId="47" applyFont="1" applyFill="1" applyBorder="1" applyAlignment="1">
      <alignment horizontal="center" vertical="center" wrapText="1"/>
      <protection/>
    </xf>
    <xf numFmtId="0" fontId="5" fillId="29" borderId="23" xfId="47" applyFont="1" applyFill="1" applyBorder="1" applyAlignment="1">
      <alignment horizontal="center" vertical="top" wrapText="1"/>
      <protection/>
    </xf>
    <xf numFmtId="168" fontId="5" fillId="29" borderId="0" xfId="0" applyNumberFormat="1" applyFont="1" applyFill="1" applyBorder="1" applyAlignment="1">
      <alignment horizontal="left" vertical="center" shrinkToFit="1"/>
    </xf>
    <xf numFmtId="0" fontId="51" fillId="0" borderId="24" xfId="0" applyFont="1" applyFill="1" applyBorder="1" applyAlignment="1">
      <alignment horizontal="left"/>
    </xf>
    <xf numFmtId="0" fontId="51" fillId="0" borderId="25" xfId="0" applyFont="1" applyFill="1" applyBorder="1" applyAlignment="1">
      <alignment horizontal="left"/>
    </xf>
    <xf numFmtId="0" fontId="51" fillId="0" borderId="26" xfId="0" applyFont="1" applyFill="1" applyBorder="1" applyAlignment="1">
      <alignment horizontal="left"/>
    </xf>
    <xf numFmtId="0" fontId="51" fillId="0" borderId="14" xfId="0" applyFont="1" applyFill="1" applyBorder="1" applyAlignment="1">
      <alignment horizontal="left" indent="2"/>
    </xf>
    <xf numFmtId="0" fontId="51" fillId="0" borderId="27" xfId="0" applyFont="1" applyFill="1" applyBorder="1" applyAlignment="1">
      <alignment horizontal="left" indent="2"/>
    </xf>
    <xf numFmtId="0" fontId="50" fillId="0" borderId="24" xfId="0" applyFont="1" applyFill="1" applyBorder="1" applyAlignment="1">
      <alignment horizontal="left" indent="1"/>
    </xf>
    <xf numFmtId="0" fontId="50" fillId="37" borderId="24" xfId="0" applyFont="1" applyFill="1" applyBorder="1" applyAlignment="1">
      <alignment horizontal="left"/>
    </xf>
    <xf numFmtId="0" fontId="51" fillId="0" borderId="25" xfId="0" applyFont="1" applyFill="1" applyBorder="1" applyAlignment="1">
      <alignment horizontal="left" indent="2"/>
    </xf>
    <xf numFmtId="0" fontId="51" fillId="0" borderId="26" xfId="0" applyFont="1" applyFill="1" applyBorder="1" applyAlignment="1">
      <alignment horizontal="left" indent="2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26" borderId="0" xfId="47" applyFont="1" applyFill="1" applyAlignment="1">
      <alignment horizontal="right" indent="1"/>
      <protection/>
    </xf>
    <xf numFmtId="0" fontId="3" fillId="0" borderId="0" xfId="47" applyFont="1" applyBorder="1" applyAlignment="1">
      <alignment/>
      <protection/>
    </xf>
    <xf numFmtId="0" fontId="2" fillId="0" borderId="0" xfId="0" applyFont="1" applyBorder="1" applyAlignment="1">
      <alignment/>
    </xf>
    <xf numFmtId="0" fontId="2" fillId="0" borderId="0" xfId="47" applyFont="1" applyFill="1" applyBorder="1" applyAlignment="1">
      <alignment/>
      <protection/>
    </xf>
    <xf numFmtId="0" fontId="54" fillId="0" borderId="0" xfId="47" applyFont="1" applyAlignment="1">
      <alignment vertical="center"/>
      <protection/>
    </xf>
    <xf numFmtId="0" fontId="2" fillId="0" borderId="0" xfId="47" applyFont="1" applyBorder="1" applyAlignment="1">
      <alignment vertical="center"/>
      <protection/>
    </xf>
    <xf numFmtId="0" fontId="2" fillId="0" borderId="0" xfId="47" applyFont="1" applyAlignment="1">
      <alignment vertical="center"/>
      <protection/>
    </xf>
    <xf numFmtId="0" fontId="3" fillId="0" borderId="0" xfId="47" applyFont="1" applyBorder="1" applyAlignment="1">
      <alignment vertical="center"/>
      <protection/>
    </xf>
    <xf numFmtId="0" fontId="2" fillId="0" borderId="0" xfId="47" applyFont="1" applyFill="1" applyBorder="1" applyAlignment="1">
      <alignment horizontal="right" vertical="center"/>
      <protection/>
    </xf>
    <xf numFmtId="0" fontId="2" fillId="0" borderId="0" xfId="47" applyFont="1" applyBorder="1" applyAlignment="1">
      <alignment horizontal="left"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6" borderId="0" xfId="47" applyFont="1" applyFill="1" applyAlignment="1">
      <alignment horizontal="center" vertical="center"/>
      <protection/>
    </xf>
    <xf numFmtId="0" fontId="51" fillId="0" borderId="19" xfId="67" applyFont="1" applyFill="1" applyBorder="1" applyAlignment="1">
      <alignment horizontal="left" indent="2"/>
      <protection/>
    </xf>
    <xf numFmtId="0" fontId="50" fillId="0" borderId="18" xfId="67" applyFont="1" applyFill="1" applyBorder="1" applyAlignment="1">
      <alignment horizontal="left" indent="1"/>
      <protection/>
    </xf>
    <xf numFmtId="0" fontId="2" fillId="0" borderId="0" xfId="0" applyFont="1" applyBorder="1"/>
    <xf numFmtId="175" fontId="51" fillId="0" borderId="28" xfId="0" applyNumberFormat="1" applyFont="1" applyFill="1" applyBorder="1"/>
    <xf numFmtId="174" fontId="51" fillId="0" borderId="29" xfId="0" applyNumberFormat="1" applyFont="1" applyFill="1" applyBorder="1"/>
    <xf numFmtId="178" fontId="51" fillId="0" borderId="30" xfId="0" applyNumberFormat="1" applyFont="1" applyFill="1" applyBorder="1"/>
    <xf numFmtId="178" fontId="51" fillId="0" borderId="29" xfId="0" applyNumberFormat="1" applyFont="1" applyFill="1" applyBorder="1"/>
    <xf numFmtId="178" fontId="51" fillId="0" borderId="31" xfId="0" applyNumberFormat="1" applyFont="1" applyFill="1" applyBorder="1"/>
    <xf numFmtId="174" fontId="51" fillId="0" borderId="28" xfId="0" applyNumberFormat="1" applyFont="1" applyFill="1" applyBorder="1"/>
    <xf numFmtId="174" fontId="51" fillId="0" borderId="30" xfId="0" applyNumberFormat="1" applyFont="1" applyFill="1" applyBorder="1"/>
    <xf numFmtId="174" fontId="51" fillId="0" borderId="31" xfId="0" applyNumberFormat="1" applyFont="1" applyFill="1" applyBorder="1"/>
    <xf numFmtId="176" fontId="51" fillId="0" borderId="31" xfId="0" applyNumberFormat="1" applyFont="1" applyFill="1" applyBorder="1"/>
    <xf numFmtId="180" fontId="51" fillId="0" borderId="29" xfId="0" applyNumberFormat="1" applyFont="1" applyFill="1" applyBorder="1"/>
    <xf numFmtId="176" fontId="51" fillId="0" borderId="30" xfId="0" applyNumberFormat="1" applyFont="1" applyFill="1" applyBorder="1"/>
    <xf numFmtId="168" fontId="4" fillId="28" borderId="32" xfId="0" applyNumberFormat="1" applyFont="1" applyFill="1" applyBorder="1" applyAlignment="1">
      <alignment horizontal="center" vertical="center" shrinkToFit="1"/>
    </xf>
    <xf numFmtId="178" fontId="50" fillId="0" borderId="28" xfId="0" applyNumberFormat="1" applyFont="1" applyFill="1" applyBorder="1"/>
    <xf numFmtId="178" fontId="50" fillId="31" borderId="28" xfId="0" applyNumberFormat="1" applyFont="1" applyFill="1" applyBorder="1"/>
    <xf numFmtId="165" fontId="22" fillId="0" borderId="32" xfId="55" applyNumberFormat="1" applyFont="1" applyBorder="1" applyAlignment="1">
      <alignment/>
    </xf>
    <xf numFmtId="175" fontId="51" fillId="0" borderId="33" xfId="0" applyNumberFormat="1" applyFont="1" applyFill="1" applyBorder="1"/>
    <xf numFmtId="174" fontId="51" fillId="0" borderId="34" xfId="0" applyNumberFormat="1" applyFont="1" applyFill="1" applyBorder="1"/>
    <xf numFmtId="178" fontId="51" fillId="0" borderId="35" xfId="0" applyNumberFormat="1" applyFont="1" applyFill="1" applyBorder="1"/>
    <xf numFmtId="178" fontId="51" fillId="0" borderId="34" xfId="0" applyNumberFormat="1" applyFont="1" applyFill="1" applyBorder="1"/>
    <xf numFmtId="174" fontId="51" fillId="0" borderId="33" xfId="0" applyNumberFormat="1" applyFont="1" applyFill="1" applyBorder="1"/>
    <xf numFmtId="174" fontId="51" fillId="0" borderId="35" xfId="0" applyNumberFormat="1" applyFont="1" applyFill="1" applyBorder="1"/>
    <xf numFmtId="180" fontId="51" fillId="0" borderId="34" xfId="0" applyNumberFormat="1" applyFont="1" applyFill="1" applyBorder="1"/>
    <xf numFmtId="176" fontId="51" fillId="0" borderId="35" xfId="0" applyNumberFormat="1" applyFont="1" applyFill="1" applyBorder="1"/>
    <xf numFmtId="168" fontId="4" fillId="29" borderId="32" xfId="0" applyNumberFormat="1" applyFont="1" applyFill="1" applyBorder="1" applyAlignment="1">
      <alignment horizontal="center" vertical="center" shrinkToFit="1"/>
    </xf>
    <xf numFmtId="178" fontId="50" fillId="0" borderId="33" xfId="0" applyNumberFormat="1" applyFont="1" applyFill="1" applyBorder="1"/>
    <xf numFmtId="178" fontId="51" fillId="0" borderId="36" xfId="0" applyNumberFormat="1" applyFont="1" applyFill="1" applyBorder="1"/>
    <xf numFmtId="178" fontId="51" fillId="0" borderId="37" xfId="0" applyNumberFormat="1" applyFont="1" applyFill="1" applyBorder="1"/>
    <xf numFmtId="178" fontId="50" fillId="37" borderId="33" xfId="0" applyNumberFormat="1" applyFont="1" applyFill="1" applyBorder="1"/>
    <xf numFmtId="0" fontId="5" fillId="36" borderId="32" xfId="47" applyFont="1" applyFill="1" applyBorder="1" applyAlignment="1">
      <alignment horizontal="center" vertical="top" wrapText="1"/>
      <protection/>
    </xf>
    <xf numFmtId="190" fontId="39" fillId="38" borderId="24" xfId="43" applyNumberFormat="1" applyFont="1" applyFill="1" applyBorder="1" applyAlignment="1">
      <alignment horizontal="center"/>
    </xf>
    <xf numFmtId="0" fontId="36" fillId="39" borderId="33" xfId="0" applyFont="1" applyFill="1" applyBorder="1" applyAlignment="1">
      <alignment horizontal="center"/>
    </xf>
    <xf numFmtId="0" fontId="35" fillId="39" borderId="33" xfId="0" applyFont="1" applyFill="1" applyBorder="1" applyAlignment="1">
      <alignment horizontal="center"/>
    </xf>
    <xf numFmtId="0" fontId="38" fillId="40" borderId="15" xfId="0" applyFont="1" applyFill="1" applyBorder="1"/>
    <xf numFmtId="0" fontId="35" fillId="26" borderId="28" xfId="0" applyFont="1" applyFill="1" applyBorder="1" applyAlignment="1">
      <alignment horizontal="center"/>
    </xf>
    <xf numFmtId="0" fontId="36" fillId="26" borderId="28" xfId="0" applyFont="1" applyFill="1" applyBorder="1" applyAlignment="1">
      <alignment horizontal="center"/>
    </xf>
    <xf numFmtId="0" fontId="34" fillId="40" borderId="15" xfId="0" applyFont="1" applyFill="1" applyBorder="1"/>
    <xf numFmtId="190" fontId="39" fillId="40" borderId="15" xfId="43" applyNumberFormat="1" applyFont="1" applyFill="1" applyBorder="1" applyAlignment="1">
      <alignment horizontal="center"/>
    </xf>
    <xf numFmtId="190" fontId="39" fillId="38" borderId="33" xfId="43" applyNumberFormat="1" applyFont="1" applyFill="1" applyBorder="1" applyAlignment="1">
      <alignment horizontal="center"/>
    </xf>
    <xf numFmtId="190" fontId="39" fillId="40" borderId="28" xfId="43" applyNumberFormat="1" applyFont="1" applyFill="1" applyBorder="1" applyAlignment="1">
      <alignment horizontal="center"/>
    </xf>
    <xf numFmtId="0" fontId="37" fillId="0" borderId="38" xfId="0" applyFont="1" applyFill="1" applyBorder="1" applyAlignment="1">
      <alignment horizontal="left" vertical="center" indent="1"/>
    </xf>
    <xf numFmtId="190" fontId="37" fillId="0" borderId="39" xfId="43" applyNumberFormat="1" applyFont="1" applyFill="1" applyBorder="1" applyAlignment="1">
      <alignment horizontal="center" vertical="center"/>
    </xf>
    <xf numFmtId="190" fontId="33" fillId="0" borderId="38" xfId="43" applyNumberFormat="1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left" vertical="center" indent="1"/>
    </xf>
    <xf numFmtId="190" fontId="37" fillId="0" borderId="40" xfId="43" applyNumberFormat="1" applyFont="1" applyFill="1" applyBorder="1" applyAlignment="1">
      <alignment horizontal="center" vertical="center"/>
    </xf>
    <xf numFmtId="190" fontId="33" fillId="0" borderId="17" xfId="43" applyNumberFormat="1" applyFont="1" applyFill="1" applyBorder="1" applyAlignment="1">
      <alignment horizontal="center" vertical="center"/>
    </xf>
    <xf numFmtId="190" fontId="33" fillId="0" borderId="40" xfId="43" applyNumberFormat="1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left" vertical="center" indent="1"/>
    </xf>
    <xf numFmtId="190" fontId="33" fillId="0" borderId="42" xfId="43" applyNumberFormat="1" applyFont="1" applyFill="1" applyBorder="1" applyAlignment="1">
      <alignment horizontal="center" vertical="center"/>
    </xf>
    <xf numFmtId="190" fontId="33" fillId="0" borderId="41" xfId="43" applyNumberFormat="1" applyFont="1" applyFill="1" applyBorder="1" applyAlignment="1">
      <alignment horizontal="center" vertical="center"/>
    </xf>
    <xf numFmtId="0" fontId="40" fillId="40" borderId="15" xfId="0" applyFont="1" applyFill="1" applyBorder="1"/>
    <xf numFmtId="190" fontId="40" fillId="40" borderId="28" xfId="43" applyNumberFormat="1" applyFont="1" applyFill="1" applyBorder="1" applyAlignment="1">
      <alignment horizontal="center"/>
    </xf>
    <xf numFmtId="190" fontId="40" fillId="40" borderId="15" xfId="43" applyNumberFormat="1" applyFont="1" applyFill="1" applyBorder="1" applyAlignment="1">
      <alignment horizontal="center"/>
    </xf>
    <xf numFmtId="190" fontId="40" fillId="38" borderId="33" xfId="43" applyNumberFormat="1" applyFont="1" applyFill="1" applyBorder="1" applyAlignment="1">
      <alignment horizontal="center"/>
    </xf>
    <xf numFmtId="190" fontId="40" fillId="38" borderId="24" xfId="43" applyNumberFormat="1" applyFont="1" applyFill="1" applyBorder="1" applyAlignment="1">
      <alignment horizontal="center"/>
    </xf>
    <xf numFmtId="0" fontId="34" fillId="0" borderId="43" xfId="0" applyFont="1" applyFill="1" applyBorder="1" applyAlignment="1">
      <alignment horizontal="center" vertical="center"/>
    </xf>
    <xf numFmtId="0" fontId="38" fillId="40" borderId="15" xfId="0" applyFont="1" applyFill="1" applyBorder="1" applyAlignment="1">
      <alignment vertical="center"/>
    </xf>
    <xf numFmtId="0" fontId="33" fillId="0" borderId="0" xfId="0" applyFont="1" applyFill="1"/>
    <xf numFmtId="0" fontId="35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45" fillId="26" borderId="0" xfId="0" applyNumberFormat="1" applyFont="1" applyFill="1" applyBorder="1" applyAlignment="1">
      <alignment horizontal="center" vertical="center"/>
    </xf>
    <xf numFmtId="0" fontId="58" fillId="26" borderId="0" xfId="0" applyNumberFormat="1" applyFont="1" applyFill="1" applyAlignment="1">
      <alignment horizontal="center"/>
    </xf>
    <xf numFmtId="0" fontId="45" fillId="26" borderId="0" xfId="0" applyNumberFormat="1" applyFont="1" applyFill="1" applyBorder="1" applyAlignment="1">
      <alignment horizontal="center"/>
    </xf>
    <xf numFmtId="0" fontId="33" fillId="24" borderId="0" xfId="0" applyNumberFormat="1" applyFont="1" applyFill="1"/>
    <xf numFmtId="190" fontId="37" fillId="0" borderId="38" xfId="43" applyNumberFormat="1" applyFont="1" applyFill="1" applyBorder="1" applyAlignment="1">
      <alignment horizontal="center" vertical="center"/>
    </xf>
    <xf numFmtId="190" fontId="37" fillId="0" borderId="17" xfId="43" applyNumberFormat="1" applyFont="1" applyFill="1" applyBorder="1" applyAlignment="1">
      <alignment horizontal="center" vertical="center"/>
    </xf>
    <xf numFmtId="190" fontId="37" fillId="0" borderId="41" xfId="43" applyNumberFormat="1" applyFont="1" applyFill="1" applyBorder="1" applyAlignment="1">
      <alignment horizontal="center" vertical="center"/>
    </xf>
    <xf numFmtId="190" fontId="37" fillId="0" borderId="42" xfId="43" applyNumberFormat="1" applyFont="1" applyFill="1" applyBorder="1" applyAlignment="1">
      <alignment horizontal="center" vertical="center"/>
    </xf>
    <xf numFmtId="172" fontId="3" fillId="0" borderId="0" xfId="0" applyNumberFormat="1" applyFont="1" applyAlignment="1">
      <alignment horizontal="center" vertical="center"/>
    </xf>
    <xf numFmtId="49" fontId="22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172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0" fontId="33" fillId="24" borderId="0" xfId="0" applyFont="1" applyFill="1" applyAlignment="1">
      <alignment/>
    </xf>
    <xf numFmtId="44" fontId="51" fillId="0" borderId="31" xfId="0" applyNumberFormat="1" applyFont="1" applyFill="1" applyBorder="1"/>
    <xf numFmtId="0" fontId="2" fillId="0" borderId="0" xfId="0" applyNumberFormat="1" applyFont="1" applyAlignment="1">
      <alignment/>
    </xf>
    <xf numFmtId="0" fontId="2" fillId="41" borderId="0" xfId="0" applyNumberFormat="1" applyFont="1" applyFill="1" applyAlignment="1">
      <alignment/>
    </xf>
    <xf numFmtId="0" fontId="2" fillId="26" borderId="0" xfId="0" applyNumberFormat="1" applyFont="1" applyFill="1" applyAlignment="1">
      <alignment/>
    </xf>
    <xf numFmtId="0" fontId="2" fillId="27" borderId="0" xfId="0" applyNumberFormat="1" applyFont="1" applyFill="1" applyAlignment="1">
      <alignment/>
    </xf>
    <xf numFmtId="192" fontId="3" fillId="0" borderId="0" xfId="0" applyNumberFormat="1" applyFont="1" applyAlignment="1">
      <alignment horizontal="centerContinuous"/>
    </xf>
    <xf numFmtId="192" fontId="2" fillId="0" borderId="0" xfId="0" applyNumberFormat="1" applyFont="1"/>
    <xf numFmtId="192" fontId="2" fillId="0" borderId="0" xfId="0" applyNumberFormat="1" applyFont="1" applyAlignment="1">
      <alignment horizontal="left"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/>
    <xf numFmtId="0" fontId="2" fillId="27" borderId="0" xfId="0" applyFont="1" applyFill="1"/>
    <xf numFmtId="0" fontId="2" fillId="41" borderId="0" xfId="0" applyFont="1" applyFill="1"/>
    <xf numFmtId="49" fontId="2" fillId="42" borderId="0" xfId="0" applyNumberFormat="1" applyFont="1" applyFill="1"/>
    <xf numFmtId="0" fontId="2" fillId="42" borderId="0" xfId="0" applyNumberFormat="1" applyFont="1" applyFill="1" applyAlignment="1">
      <alignment/>
    </xf>
    <xf numFmtId="193" fontId="2" fillId="0" borderId="0" xfId="0" applyNumberFormat="1" applyFont="1"/>
    <xf numFmtId="193" fontId="2" fillId="0" borderId="0" xfId="0" applyNumberFormat="1" applyFont="1" applyAlignment="1">
      <alignment/>
    </xf>
    <xf numFmtId="0" fontId="5" fillId="28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0" xfId="68" applyFont="1" applyAlignment="1">
      <alignment vertical="center"/>
      <protection/>
    </xf>
    <xf numFmtId="0" fontId="3" fillId="0" borderId="0" xfId="68" applyFont="1" applyAlignment="1">
      <alignment horizontal="center" vertical="center"/>
      <protection/>
    </xf>
    <xf numFmtId="0" fontId="44" fillId="0" borderId="0" xfId="69" applyFont="1" applyFill="1" applyBorder="1" applyAlignment="1">
      <alignment vertical="center"/>
      <protection/>
    </xf>
    <xf numFmtId="194" fontId="3" fillId="0" borderId="0" xfId="68" applyNumberFormat="1" applyFont="1" applyAlignment="1">
      <alignment vertical="center"/>
      <protection/>
    </xf>
    <xf numFmtId="195" fontId="3" fillId="0" borderId="0" xfId="68" applyNumberFormat="1" applyFont="1" applyAlignment="1">
      <alignment vertical="center"/>
      <protection/>
    </xf>
    <xf numFmtId="0" fontId="44" fillId="0" borderId="0" xfId="68" applyFont="1" applyAlignment="1">
      <alignment vertical="center"/>
      <protection/>
    </xf>
    <xf numFmtId="0" fontId="46" fillId="0" borderId="0" xfId="69" applyFont="1" applyFill="1" applyBorder="1" applyAlignment="1">
      <alignment vertical="center"/>
      <protection/>
    </xf>
    <xf numFmtId="0" fontId="46" fillId="0" borderId="0" xfId="68" applyFont="1" applyAlignment="1">
      <alignment vertical="center"/>
      <protection/>
    </xf>
    <xf numFmtId="0" fontId="2" fillId="0" borderId="0" xfId="68" applyFont="1" applyAlignment="1">
      <alignment vertical="top"/>
      <protection/>
    </xf>
    <xf numFmtId="0" fontId="2" fillId="0" borderId="0" xfId="68" applyFont="1" applyAlignment="1">
      <alignment horizontal="center" vertical="top"/>
      <protection/>
    </xf>
    <xf numFmtId="194" fontId="44" fillId="0" borderId="44" xfId="68" applyNumberFormat="1" applyFont="1" applyBorder="1" applyAlignment="1">
      <alignment horizontal="centerContinuous" vertical="top"/>
      <protection/>
    </xf>
    <xf numFmtId="194" fontId="44" fillId="0" borderId="45" xfId="68" applyNumberFormat="1" applyFont="1" applyBorder="1" applyAlignment="1">
      <alignment horizontal="centerContinuous" vertical="top"/>
      <protection/>
    </xf>
    <xf numFmtId="195" fontId="44" fillId="0" borderId="46" xfId="68" applyNumberFormat="1" applyFont="1" applyBorder="1" applyAlignment="1">
      <alignment horizontal="centerContinuous" vertical="top"/>
      <protection/>
    </xf>
    <xf numFmtId="195" fontId="44" fillId="0" borderId="45" xfId="68" applyNumberFormat="1" applyFont="1" applyBorder="1" applyAlignment="1">
      <alignment horizontal="centerContinuous" vertical="top"/>
      <protection/>
    </xf>
    <xf numFmtId="194" fontId="44" fillId="0" borderId="46" xfId="68" applyNumberFormat="1" applyFont="1" applyBorder="1" applyAlignment="1">
      <alignment horizontal="centerContinuous" vertical="top"/>
      <protection/>
    </xf>
    <xf numFmtId="194" fontId="46" fillId="0" borderId="47" xfId="68" applyNumberFormat="1" applyFont="1" applyBorder="1" applyAlignment="1">
      <alignment horizontal="centerContinuous" vertical="top"/>
      <protection/>
    </xf>
    <xf numFmtId="194" fontId="46" fillId="0" borderId="48" xfId="68" applyNumberFormat="1" applyFont="1" applyBorder="1" applyAlignment="1">
      <alignment horizontal="centerContinuous" vertical="top"/>
      <protection/>
    </xf>
    <xf numFmtId="195" fontId="46" fillId="0" borderId="49" xfId="68" applyNumberFormat="1" applyFont="1" applyBorder="1" applyAlignment="1">
      <alignment horizontal="centerContinuous" vertical="top"/>
      <protection/>
    </xf>
    <xf numFmtId="195" fontId="46" fillId="0" borderId="48" xfId="68" applyNumberFormat="1" applyFont="1" applyBorder="1" applyAlignment="1">
      <alignment horizontal="centerContinuous" vertical="top"/>
      <protection/>
    </xf>
    <xf numFmtId="194" fontId="46" fillId="0" borderId="49" xfId="68" applyNumberFormat="1" applyFont="1" applyBorder="1" applyAlignment="1">
      <alignment horizontal="centerContinuous" vertical="top"/>
      <protection/>
    </xf>
    <xf numFmtId="0" fontId="49" fillId="28" borderId="50" xfId="68" applyFont="1" applyFill="1" applyBorder="1" applyAlignment="1">
      <alignment vertical="top"/>
      <protection/>
    </xf>
    <xf numFmtId="194" fontId="49" fillId="28" borderId="51" xfId="68" applyNumberFormat="1" applyFont="1" applyFill="1" applyBorder="1" applyAlignment="1">
      <alignment horizontal="center" vertical="top"/>
      <protection/>
    </xf>
    <xf numFmtId="194" fontId="49" fillId="28" borderId="0" xfId="68" applyNumberFormat="1" applyFont="1" applyFill="1" applyBorder="1" applyAlignment="1">
      <alignment horizontal="center" vertical="top"/>
      <protection/>
    </xf>
    <xf numFmtId="195" fontId="49" fillId="28" borderId="52" xfId="68" applyNumberFormat="1" applyFont="1" applyFill="1" applyBorder="1" applyAlignment="1">
      <alignment horizontal="center" vertical="top"/>
      <protection/>
    </xf>
    <xf numFmtId="195" fontId="49" fillId="28" borderId="0" xfId="68" applyNumberFormat="1" applyFont="1" applyFill="1" applyBorder="1" applyAlignment="1">
      <alignment horizontal="center" vertical="top"/>
      <protection/>
    </xf>
    <xf numFmtId="194" fontId="49" fillId="28" borderId="52" xfId="68" applyNumberFormat="1" applyFont="1" applyFill="1" applyBorder="1" applyAlignment="1">
      <alignment horizontal="center" vertical="top"/>
      <protection/>
    </xf>
    <xf numFmtId="0" fontId="49" fillId="28" borderId="0" xfId="68" applyFont="1" applyFill="1" applyAlignment="1">
      <alignment vertical="top"/>
      <protection/>
    </xf>
    <xf numFmtId="0" fontId="49" fillId="29" borderId="0" xfId="68" applyFont="1" applyFill="1" applyAlignment="1">
      <alignment vertical="top"/>
      <protection/>
    </xf>
    <xf numFmtId="194" fontId="49" fillId="29" borderId="53" xfId="68" applyNumberFormat="1" applyFont="1" applyFill="1" applyBorder="1" applyAlignment="1">
      <alignment horizontal="center" vertical="top"/>
      <protection/>
    </xf>
    <xf numFmtId="194" fontId="49" fillId="29" borderId="0" xfId="68" applyNumberFormat="1" applyFont="1" applyFill="1" applyBorder="1" applyAlignment="1">
      <alignment horizontal="center" vertical="top"/>
      <protection/>
    </xf>
    <xf numFmtId="195" fontId="49" fillId="29" borderId="54" xfId="68" applyNumberFormat="1" applyFont="1" applyFill="1" applyBorder="1" applyAlignment="1">
      <alignment horizontal="center" vertical="top"/>
      <protection/>
    </xf>
    <xf numFmtId="195" fontId="49" fillId="29" borderId="0" xfId="68" applyNumberFormat="1" applyFont="1" applyFill="1" applyBorder="1" applyAlignment="1">
      <alignment horizontal="center" vertical="top"/>
      <protection/>
    </xf>
    <xf numFmtId="194" fontId="49" fillId="29" borderId="54" xfId="68" applyNumberFormat="1" applyFont="1" applyFill="1" applyBorder="1" applyAlignment="1">
      <alignment horizontal="center" vertical="top"/>
      <protection/>
    </xf>
    <xf numFmtId="0" fontId="2" fillId="0" borderId="50" xfId="68" applyFont="1" applyBorder="1" applyAlignment="1">
      <alignment vertical="top"/>
      <protection/>
    </xf>
    <xf numFmtId="194" fontId="2" fillId="0" borderId="51" xfId="68" applyNumberFormat="1" applyFont="1" applyBorder="1" applyAlignment="1">
      <alignment vertical="top"/>
      <protection/>
    </xf>
    <xf numFmtId="194" fontId="2" fillId="0" borderId="0" xfId="68" applyNumberFormat="1" applyFont="1" applyBorder="1" applyAlignment="1">
      <alignment vertical="top"/>
      <protection/>
    </xf>
    <xf numFmtId="195" fontId="2" fillId="0" borderId="52" xfId="68" applyNumberFormat="1" applyFont="1" applyBorder="1" applyAlignment="1">
      <alignment vertical="top"/>
      <protection/>
    </xf>
    <xf numFmtId="195" fontId="2" fillId="0" borderId="0" xfId="68" applyNumberFormat="1" applyFont="1" applyBorder="1" applyAlignment="1">
      <alignment vertical="top"/>
      <protection/>
    </xf>
    <xf numFmtId="194" fontId="2" fillId="0" borderId="52" xfId="68" applyNumberFormat="1" applyFont="1" applyBorder="1" applyAlignment="1">
      <alignment vertical="top"/>
      <protection/>
    </xf>
    <xf numFmtId="194" fontId="2" fillId="0" borderId="53" xfId="68" applyNumberFormat="1" applyFont="1" applyBorder="1" applyAlignment="1">
      <alignment vertical="top"/>
      <protection/>
    </xf>
    <xf numFmtId="195" fontId="2" fillId="0" borderId="54" xfId="68" applyNumberFormat="1" applyFont="1" applyBorder="1" applyAlignment="1">
      <alignment vertical="top"/>
      <protection/>
    </xf>
    <xf numFmtId="194" fontId="2" fillId="0" borderId="54" xfId="68" applyNumberFormat="1" applyFont="1" applyBorder="1" applyAlignment="1">
      <alignment vertical="top"/>
      <protection/>
    </xf>
    <xf numFmtId="194" fontId="2" fillId="0" borderId="0" xfId="68" applyNumberFormat="1" applyFont="1" applyAlignment="1">
      <alignment vertical="top"/>
      <protection/>
    </xf>
    <xf numFmtId="195" fontId="2" fillId="0" borderId="0" xfId="68" applyNumberFormat="1" applyFont="1" applyAlignment="1">
      <alignment vertical="top"/>
      <protection/>
    </xf>
    <xf numFmtId="194" fontId="49" fillId="29" borderId="53" xfId="68" applyNumberFormat="1" applyFont="1" applyFill="1" applyBorder="1" applyAlignment="1">
      <alignment vertical="top"/>
      <protection/>
    </xf>
    <xf numFmtId="194" fontId="49" fillId="29" borderId="0" xfId="68" applyNumberFormat="1" applyFont="1" applyFill="1" applyBorder="1" applyAlignment="1">
      <alignment vertical="top"/>
      <protection/>
    </xf>
    <xf numFmtId="195" fontId="49" fillId="29" borderId="54" xfId="68" applyNumberFormat="1" applyFont="1" applyFill="1" applyBorder="1" applyAlignment="1">
      <alignment vertical="top"/>
      <protection/>
    </xf>
    <xf numFmtId="195" fontId="49" fillId="29" borderId="0" xfId="68" applyNumberFormat="1" applyFont="1" applyFill="1" applyBorder="1" applyAlignment="1">
      <alignment vertical="top"/>
      <protection/>
    </xf>
    <xf numFmtId="194" fontId="49" fillId="29" borderId="54" xfId="68" applyNumberFormat="1" applyFont="1" applyFill="1" applyBorder="1" applyAlignment="1">
      <alignment vertical="top"/>
      <protection/>
    </xf>
    <xf numFmtId="14" fontId="2" fillId="0" borderId="0" xfId="0" applyNumberFormat="1" applyFont="1"/>
    <xf numFmtId="196" fontId="3" fillId="0" borderId="0" xfId="68" applyNumberFormat="1" applyFont="1" applyAlignment="1">
      <alignment vertical="center"/>
      <protection/>
    </xf>
    <xf numFmtId="196" fontId="44" fillId="0" borderId="45" xfId="68" applyNumberFormat="1" applyFont="1" applyBorder="1" applyAlignment="1">
      <alignment horizontal="centerContinuous" vertical="top"/>
      <protection/>
    </xf>
    <xf numFmtId="196" fontId="49" fillId="28" borderId="0" xfId="68" applyNumberFormat="1" applyFont="1" applyFill="1" applyBorder="1" applyAlignment="1">
      <alignment horizontal="center" vertical="top"/>
      <protection/>
    </xf>
    <xf numFmtId="196" fontId="2" fillId="0" borderId="0" xfId="68" applyNumberFormat="1" applyFont="1" applyBorder="1" applyAlignment="1">
      <alignment vertical="top"/>
      <protection/>
    </xf>
    <xf numFmtId="196" fontId="2" fillId="0" borderId="0" xfId="68" applyNumberFormat="1" applyFont="1" applyAlignment="1">
      <alignment vertical="top"/>
      <protection/>
    </xf>
    <xf numFmtId="197" fontId="3" fillId="0" borderId="0" xfId="68" applyNumberFormat="1" applyFont="1" applyAlignment="1" quotePrefix="1">
      <alignment horizontal="center" vertical="center"/>
      <protection/>
    </xf>
    <xf numFmtId="197" fontId="44" fillId="0" borderId="46" xfId="68" applyNumberFormat="1" applyFont="1" applyBorder="1" applyAlignment="1">
      <alignment horizontal="centerContinuous" vertical="top"/>
      <protection/>
    </xf>
    <xf numFmtId="197" fontId="49" fillId="28" borderId="52" xfId="68" applyNumberFormat="1" applyFont="1" applyFill="1" applyBorder="1" applyAlignment="1">
      <alignment horizontal="center" vertical="top"/>
      <protection/>
    </xf>
    <xf numFmtId="197" fontId="2" fillId="0" borderId="0" xfId="68" applyNumberFormat="1" applyFont="1" applyAlignment="1">
      <alignment horizontal="center" vertical="top"/>
      <protection/>
    </xf>
    <xf numFmtId="197" fontId="3" fillId="0" borderId="0" xfId="68" applyNumberFormat="1" applyFont="1" applyAlignment="1">
      <alignment horizontal="center" vertical="center"/>
      <protection/>
    </xf>
    <xf numFmtId="197" fontId="46" fillId="0" borderId="49" xfId="68" applyNumberFormat="1" applyFont="1" applyBorder="1" applyAlignment="1">
      <alignment horizontal="centerContinuous" vertical="top"/>
      <protection/>
    </xf>
    <xf numFmtId="197" fontId="49" fillId="29" borderId="54" xfId="68" applyNumberFormat="1" applyFont="1" applyFill="1" applyBorder="1" applyAlignment="1">
      <alignment horizontal="center" vertical="top"/>
      <protection/>
    </xf>
    <xf numFmtId="196" fontId="46" fillId="0" borderId="48" xfId="68" applyNumberFormat="1" applyFont="1" applyBorder="1" applyAlignment="1">
      <alignment horizontal="centerContinuous" vertical="top"/>
      <protection/>
    </xf>
    <xf numFmtId="196" fontId="49" fillId="29" borderId="0" xfId="68" applyNumberFormat="1" applyFont="1" applyFill="1" applyBorder="1" applyAlignment="1">
      <alignment horizontal="center" vertical="top"/>
      <protection/>
    </xf>
    <xf numFmtId="195" fontId="59" fillId="0" borderId="46" xfId="68" applyNumberFormat="1" applyFont="1" applyBorder="1" applyAlignment="1">
      <alignment horizontal="centerContinuous" vertical="top"/>
      <protection/>
    </xf>
    <xf numFmtId="0" fontId="2" fillId="0" borderId="55" xfId="68" applyFont="1" applyBorder="1" applyAlignment="1">
      <alignment vertical="top"/>
      <protection/>
    </xf>
    <xf numFmtId="194" fontId="3" fillId="0" borderId="48" xfId="68" applyNumberFormat="1" applyFont="1" applyFill="1" applyBorder="1" applyAlignment="1">
      <alignment horizontal="centerContinuous" vertical="top"/>
      <protection/>
    </xf>
    <xf numFmtId="195" fontId="3" fillId="0" borderId="49" xfId="68" applyNumberFormat="1" applyFont="1" applyFill="1" applyBorder="1" applyAlignment="1">
      <alignment horizontal="centerContinuous" vertical="top"/>
      <protection/>
    </xf>
    <xf numFmtId="194" fontId="46" fillId="0" borderId="47" xfId="68" applyNumberFormat="1" applyFont="1" applyFill="1" applyBorder="1" applyAlignment="1">
      <alignment horizontal="centerContinuous" vertical="top"/>
      <protection/>
    </xf>
    <xf numFmtId="195" fontId="46" fillId="0" borderId="49" xfId="68" applyNumberFormat="1" applyFont="1" applyFill="1" applyBorder="1" applyAlignment="1">
      <alignment horizontal="centerContinuous" vertical="top"/>
      <protection/>
    </xf>
    <xf numFmtId="194" fontId="46" fillId="0" borderId="48" xfId="68" applyNumberFormat="1" applyFont="1" applyFill="1" applyBorder="1" applyAlignment="1">
      <alignment horizontal="centerContinuous" vertical="top"/>
      <protection/>
    </xf>
    <xf numFmtId="194" fontId="44" fillId="0" borderId="45" xfId="68" applyNumberFormat="1" applyFont="1" applyFill="1" applyBorder="1" applyAlignment="1">
      <alignment horizontal="centerContinuous" vertical="top"/>
      <protection/>
    </xf>
    <xf numFmtId="195" fontId="44" fillId="0" borderId="46" xfId="68" applyNumberFormat="1" applyFont="1" applyFill="1" applyBorder="1" applyAlignment="1">
      <alignment horizontal="centerContinuous" vertical="top"/>
      <protection/>
    </xf>
    <xf numFmtId="194" fontId="59" fillId="0" borderId="45" xfId="68" applyNumberFormat="1" applyFont="1" applyFill="1" applyBorder="1" applyAlignment="1">
      <alignment horizontal="centerContinuous" vertical="top"/>
      <protection/>
    </xf>
    <xf numFmtId="0" fontId="46" fillId="0" borderId="56" xfId="68" applyFont="1" applyBorder="1" applyAlignment="1">
      <alignment horizontal="left" vertical="top"/>
      <protection/>
    </xf>
    <xf numFmtId="0" fontId="44" fillId="0" borderId="57" xfId="68" applyFont="1" applyBorder="1" applyAlignment="1">
      <alignment horizontal="left" vertical="top"/>
      <protection/>
    </xf>
    <xf numFmtId="0" fontId="3" fillId="0" borderId="0" xfId="68" applyNumberFormat="1" applyFont="1" applyAlignment="1">
      <alignment vertical="center"/>
      <protection/>
    </xf>
    <xf numFmtId="0" fontId="3" fillId="0" borderId="0" xfId="68" applyNumberFormat="1" applyFont="1" applyAlignment="1">
      <alignment horizontal="center" vertical="center"/>
      <protection/>
    </xf>
    <xf numFmtId="0" fontId="2" fillId="0" borderId="0" xfId="68" applyNumberFormat="1" applyFont="1" applyAlignment="1">
      <alignment vertical="top"/>
      <protection/>
    </xf>
    <xf numFmtId="0" fontId="2" fillId="0" borderId="0" xfId="68" applyNumberFormat="1" applyFont="1" applyAlignment="1">
      <alignment horizontal="center" vertical="top"/>
      <protection/>
    </xf>
    <xf numFmtId="49" fontId="2" fillId="16" borderId="21" xfId="0" applyNumberFormat="1" applyFont="1" applyFill="1" applyBorder="1" applyAlignment="1" applyProtection="1">
      <alignment horizontal="center" vertical="top"/>
      <protection/>
    </xf>
    <xf numFmtId="0" fontId="3" fillId="0" borderId="0" xfId="0" applyFont="1"/>
    <xf numFmtId="177" fontId="2" fillId="0" borderId="52" xfId="68" applyNumberFormat="1" applyFont="1" applyBorder="1" applyAlignment="1">
      <alignment horizontal="center" vertical="top"/>
      <protection/>
    </xf>
    <xf numFmtId="177" fontId="2" fillId="0" borderId="54" xfId="68" applyNumberFormat="1" applyFont="1" applyBorder="1" applyAlignment="1">
      <alignment horizontal="center" vertical="top"/>
      <protection/>
    </xf>
    <xf numFmtId="2" fontId="5" fillId="28" borderId="21" xfId="0" applyNumberFormat="1" applyFont="1" applyFill="1" applyBorder="1" applyAlignment="1" applyProtection="1">
      <alignment vertical="top" wrapText="1"/>
      <protection/>
    </xf>
    <xf numFmtId="192" fontId="5" fillId="28" borderId="21" xfId="0" applyNumberFormat="1" applyFont="1" applyFill="1" applyBorder="1" applyAlignment="1" applyProtection="1">
      <alignment vertical="top" wrapText="1"/>
      <protection/>
    </xf>
    <xf numFmtId="168" fontId="60" fillId="0" borderId="19" xfId="0" applyNumberFormat="1" applyFont="1" applyFill="1" applyBorder="1"/>
    <xf numFmtId="168" fontId="60" fillId="34" borderId="18" xfId="0" applyNumberFormat="1" applyFont="1" applyFill="1" applyBorder="1"/>
    <xf numFmtId="168" fontId="60" fillId="0" borderId="18" xfId="0" applyNumberFormat="1" applyFont="1" applyFill="1" applyBorder="1"/>
    <xf numFmtId="168" fontId="60" fillId="0" borderId="20" xfId="0" applyNumberFormat="1" applyFont="1" applyFill="1" applyBorder="1"/>
    <xf numFmtId="168" fontId="29" fillId="0" borderId="0" xfId="0" applyNumberFormat="1" applyFont="1" applyFill="1" applyBorder="1" applyAlignment="1">
      <alignment/>
    </xf>
    <xf numFmtId="168" fontId="60" fillId="0" borderId="58" xfId="0" applyNumberFormat="1" applyFont="1" applyFill="1" applyBorder="1"/>
    <xf numFmtId="0" fontId="41" fillId="0" borderId="59" xfId="0" applyFont="1" applyBorder="1" applyAlignment="1">
      <alignment vertical="top"/>
    </xf>
    <xf numFmtId="0" fontId="41" fillId="0" borderId="60" xfId="0" applyFont="1" applyBorder="1" applyAlignment="1">
      <alignment vertical="top"/>
    </xf>
    <xf numFmtId="14" fontId="41" fillId="0" borderId="59" xfId="0" applyNumberFormat="1" applyFont="1" applyBorder="1" applyAlignment="1">
      <alignment horizontal="left" vertical="top"/>
    </xf>
    <xf numFmtId="14" fontId="41" fillId="0" borderId="60" xfId="0" applyNumberFormat="1" applyFont="1" applyBorder="1" applyAlignment="1">
      <alignment horizontal="left" vertical="top"/>
    </xf>
    <xf numFmtId="0" fontId="41" fillId="0" borderId="59" xfId="0" applyFont="1" applyBorder="1" applyAlignment="1">
      <alignment horizontal="left" vertical="top"/>
    </xf>
    <xf numFmtId="0" fontId="41" fillId="0" borderId="60" xfId="0" applyFont="1" applyBorder="1" applyAlignment="1">
      <alignment horizontal="left" vertical="top"/>
    </xf>
    <xf numFmtId="0" fontId="57" fillId="36" borderId="0" xfId="0" applyFont="1" applyFill="1" applyBorder="1" applyAlignment="1">
      <alignment horizontal="center" vertical="center"/>
    </xf>
    <xf numFmtId="0" fontId="57" fillId="29" borderId="32" xfId="0" applyFont="1" applyFill="1" applyBorder="1" applyAlignment="1">
      <alignment horizontal="center" vertical="center"/>
    </xf>
    <xf numFmtId="0" fontId="57" fillId="29" borderId="0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79" fontId="25" fillId="0" borderId="0" xfId="0" applyNumberFormat="1" applyFont="1" applyAlignment="1">
      <alignment/>
    </xf>
    <xf numFmtId="0" fontId="25" fillId="0" borderId="0" xfId="0" applyFont="1" applyAlignment="1">
      <alignment/>
    </xf>
    <xf numFmtId="49" fontId="3" fillId="43" borderId="21" xfId="0" applyNumberFormat="1" applyFont="1" applyFill="1" applyBorder="1" applyAlignment="1" applyProtection="1">
      <alignment horizontal="center" vertical="top"/>
      <protection/>
    </xf>
    <xf numFmtId="0" fontId="3" fillId="43" borderId="21" xfId="0" applyNumberFormat="1" applyFont="1" applyFill="1" applyBorder="1" applyAlignment="1" applyProtection="1">
      <alignment horizontal="center" vertical="top"/>
      <protection/>
    </xf>
    <xf numFmtId="3" fontId="3" fillId="43" borderId="21" xfId="0" applyNumberFormat="1" applyFont="1" applyFill="1" applyBorder="1" applyAlignment="1" applyProtection="1">
      <alignment horizontal="center" vertical="top"/>
      <protection/>
    </xf>
    <xf numFmtId="2" fontId="3" fillId="0" borderId="0" xfId="0" applyNumberFormat="1" applyFont="1" applyAlignment="1">
      <alignment horizontal="right" vertical="top"/>
    </xf>
    <xf numFmtId="49" fontId="3" fillId="42" borderId="0" xfId="0" applyNumberFormat="1" applyFont="1" applyFill="1" applyAlignment="1">
      <alignment vertical="top"/>
    </xf>
    <xf numFmtId="0" fontId="3" fillId="41" borderId="0" xfId="0" applyFont="1" applyFill="1" applyAlignment="1">
      <alignment vertical="top"/>
    </xf>
    <xf numFmtId="0" fontId="3" fillId="27" borderId="0" xfId="0" applyFont="1" applyFill="1" applyAlignment="1">
      <alignment vertical="top"/>
    </xf>
    <xf numFmtId="0" fontId="3" fillId="26" borderId="0" xfId="0" applyFont="1" applyFill="1" applyAlignment="1">
      <alignment vertical="top"/>
    </xf>
    <xf numFmtId="0" fontId="3" fillId="27" borderId="0" xfId="0" applyNumberFormat="1" applyFont="1" applyFill="1" applyAlignment="1">
      <alignment vertical="top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14" fontId="3" fillId="0" borderId="0" xfId="0" applyNumberFormat="1" applyFont="1" applyAlignment="1">
      <alignment vertical="top"/>
    </xf>
    <xf numFmtId="0" fontId="61" fillId="0" borderId="61" xfId="70" applyNumberFormat="1" applyFont="1" applyBorder="1">
      <alignment/>
      <protection/>
    </xf>
    <xf numFmtId="0" fontId="62" fillId="0" borderId="61" xfId="70" applyNumberFormat="1" applyFont="1" applyBorder="1">
      <alignment/>
      <protection/>
    </xf>
    <xf numFmtId="0" fontId="61" fillId="0" borderId="0" xfId="70" applyNumberFormat="1" applyFont="1">
      <alignment/>
      <protection/>
    </xf>
    <xf numFmtId="0" fontId="63" fillId="0" borderId="0" xfId="70" applyNumberFormat="1" applyFont="1">
      <alignment/>
      <protection/>
    </xf>
    <xf numFmtId="0" fontId="61" fillId="0" borderId="62" xfId="70" applyNumberFormat="1" applyFont="1" applyBorder="1">
      <alignment/>
      <protection/>
    </xf>
    <xf numFmtId="0" fontId="61" fillId="0" borderId="63" xfId="70" applyNumberFormat="1" applyFont="1" applyBorder="1">
      <alignment/>
      <protection/>
    </xf>
    <xf numFmtId="0" fontId="61" fillId="0" borderId="64" xfId="70" applyNumberFormat="1" applyFont="1" applyBorder="1">
      <alignment/>
      <protection/>
    </xf>
    <xf numFmtId="200" fontId="61" fillId="0" borderId="62" xfId="70" applyNumberFormat="1" applyFont="1" applyBorder="1" applyAlignment="1">
      <alignment horizontal="center"/>
      <protection/>
    </xf>
    <xf numFmtId="200" fontId="61" fillId="0" borderId="65" xfId="70" applyNumberFormat="1" applyFont="1" applyBorder="1" applyAlignment="1">
      <alignment horizontal="center"/>
      <protection/>
    </xf>
    <xf numFmtId="200" fontId="61" fillId="0" borderId="66" xfId="70" applyNumberFormat="1" applyFont="1" applyBorder="1" applyAlignment="1">
      <alignment horizontal="center"/>
      <protection/>
    </xf>
    <xf numFmtId="0" fontId="62" fillId="0" borderId="62" xfId="70" applyFont="1" applyBorder="1">
      <alignment/>
      <protection/>
    </xf>
    <xf numFmtId="0" fontId="62" fillId="0" borderId="63" xfId="70" applyFont="1" applyBorder="1">
      <alignment/>
      <protection/>
    </xf>
    <xf numFmtId="3" fontId="62" fillId="0" borderId="62" xfId="70" applyNumberFormat="1" applyFont="1" applyBorder="1">
      <alignment/>
      <protection/>
    </xf>
    <xf numFmtId="3" fontId="62" fillId="0" borderId="65" xfId="70" applyNumberFormat="1" applyFont="1" applyBorder="1">
      <alignment/>
      <protection/>
    </xf>
    <xf numFmtId="3" fontId="62" fillId="0" borderId="66" xfId="70" applyNumberFormat="1" applyFont="1" applyBorder="1">
      <alignment/>
      <protection/>
    </xf>
    <xf numFmtId="0" fontId="62" fillId="0" borderId="0" xfId="70" applyFont="1">
      <alignment/>
      <protection/>
    </xf>
    <xf numFmtId="0" fontId="62" fillId="0" borderId="67" xfId="70" applyFont="1" applyBorder="1">
      <alignment/>
      <protection/>
    </xf>
    <xf numFmtId="0" fontId="62" fillId="0" borderId="68" xfId="70" applyFont="1" applyBorder="1">
      <alignment/>
      <protection/>
    </xf>
    <xf numFmtId="3" fontId="62" fillId="0" borderId="67" xfId="70" applyNumberFormat="1" applyFont="1" applyBorder="1">
      <alignment/>
      <protection/>
    </xf>
    <xf numFmtId="3" fontId="62" fillId="0" borderId="69" xfId="70" applyNumberFormat="1" applyFont="1" applyBorder="1">
      <alignment/>
      <protection/>
    </xf>
    <xf numFmtId="3" fontId="62" fillId="0" borderId="61" xfId="70" applyNumberFormat="1" applyFont="1" applyBorder="1">
      <alignment/>
      <protection/>
    </xf>
    <xf numFmtId="3" fontId="62" fillId="0" borderId="0" xfId="70" applyNumberFormat="1" applyFont="1">
      <alignment/>
      <protection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Beregning" xfId="38"/>
    <cellStyle name="Bad" xfId="39"/>
    <cellStyle name="Explanatory Text" xfId="40"/>
    <cellStyle name="God" xfId="41"/>
    <cellStyle name="Inndata" xfId="42"/>
    <cellStyle name="Komma" xfId="43"/>
    <cellStyle name="Komma 2" xfId="44"/>
    <cellStyle name="Check Cell" xfId="45"/>
    <cellStyle name="Koblet celle" xfId="46"/>
    <cellStyle name="Normal 2" xfId="47"/>
    <cellStyle name="Normal 3" xfId="48"/>
    <cellStyle name="Merknad" xfId="49"/>
    <cellStyle name="Neutral" xfId="50"/>
    <cellStyle name="Heading 1" xfId="51"/>
    <cellStyle name="Heading 2" xfId="52"/>
    <cellStyle name="Heading 3" xfId="53"/>
    <cellStyle name="Heading 4" xfId="54"/>
    <cellStyle name="Prosent 2" xfId="55"/>
    <cellStyle name="Title" xfId="56"/>
    <cellStyle name="Total" xfId="57"/>
    <cellStyle name="Tusenskille 2" xfId="58"/>
    <cellStyle name="Output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Varseltekst" xfId="66"/>
    <cellStyle name="Normal_Cluster" xfId="67"/>
    <cellStyle name="Normal 4" xfId="68"/>
    <cellStyle name="Normal 5" xfId="69"/>
    <cellStyle name="Normal 6" xfId="70"/>
  </cellStyles>
  <dxfs count="178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  <border/>
    </dxf>
    <dxf>
      <font>
        <color theme="0"/>
      </font>
      <border/>
    </dxf>
    <dxf>
      <font>
        <b/>
        <i val="0"/>
      </font>
      <fill>
        <patternFill>
          <bgColor theme="8" tint="0.3999499976634979"/>
        </patternFill>
      </fill>
      <border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8" tint="0.7999799847602844"/>
        </patternFill>
      </fill>
      <border>
        <top style="thin">
          <color theme="8"/>
        </top>
        <bottom style="thin">
          <color theme="8"/>
        </bottom>
        <vertical/>
        <horizontal/>
      </border>
    </dxf>
    <dxf>
      <fill>
        <patternFill>
          <bgColor theme="8" tint="0.7999799847602844"/>
        </patternFill>
      </fill>
      <border/>
    </dxf>
    <dxf>
      <fill>
        <patternFill>
          <bgColor theme="0"/>
        </patternFill>
      </fill>
      <border>
        <top style="thin">
          <color theme="8" tint="0.7999799847602844"/>
        </top>
        <bottom style="thin">
          <color theme="8" tint="0.7999799847602844"/>
        </bottom>
        <vertical/>
        <horizontal/>
      </border>
    </dxf>
    <dxf>
      <font>
        <b/>
        <i val="0"/>
      </font>
      <fill>
        <patternFill>
          <bgColor theme="9" tint="0.3999499976634979"/>
        </patternFill>
      </fill>
      <border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9" tint="0.7999799847602844"/>
        </patternFill>
      </fill>
      <border>
        <top style="thin">
          <color theme="9"/>
        </top>
        <bottom style="thin">
          <color theme="9"/>
        </bottom>
        <vertical/>
        <horizontal/>
      </border>
    </dxf>
    <dxf>
      <fill>
        <patternFill>
          <bgColor theme="9" tint="0.7999799847602844"/>
        </patternFill>
      </fill>
      <border/>
    </dxf>
    <dxf>
      <fill>
        <patternFill>
          <bgColor theme="0"/>
        </patternFill>
      </fill>
      <border>
        <top style="thin">
          <color theme="9" tint="0.7999799847602844"/>
        </top>
        <bottom style="thin">
          <color theme="9" tint="0.7999799847602844"/>
        </bottom>
        <vertical/>
        <horizontal/>
      </border>
    </dxf>
    <dxf>
      <numFmt numFmtId="201" formatCode="&quot;    &quot;@"/>
      <border/>
    </dxf>
    <dxf>
      <numFmt numFmtId="202" formatCode="&quot;  &quot;@"/>
      <border/>
    </dxf>
    <dxf>
      <font>
        <b/>
        <i val="0"/>
      </font>
      <fill>
        <patternFill>
          <bgColor theme="8" tint="0.3999499976634979"/>
        </patternFill>
      </fill>
      <border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8" tint="0.7999799847602844"/>
        </patternFill>
      </fill>
      <border>
        <top style="thin">
          <color theme="8"/>
        </top>
        <bottom style="thin">
          <color theme="8"/>
        </bottom>
        <vertical/>
        <horizontal/>
      </border>
    </dxf>
    <dxf>
      <fill>
        <patternFill>
          <bgColor theme="8" tint="0.7999799847602844"/>
        </patternFill>
      </fill>
      <border/>
    </dxf>
    <dxf>
      <fill>
        <patternFill>
          <bgColor theme="0"/>
        </patternFill>
      </fill>
      <border>
        <top style="thin">
          <color theme="8" tint="0.7999799847602844"/>
        </top>
        <bottom style="thin">
          <color theme="8" tint="0.7999799847602844"/>
        </bottom>
        <vertical/>
        <horizontal/>
      </border>
    </dxf>
    <dxf>
      <font>
        <b/>
        <i val="0"/>
      </font>
      <fill>
        <patternFill>
          <bgColor theme="9" tint="0.3999499976634979"/>
        </patternFill>
      </fill>
      <border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9" tint="0.7999799847602844"/>
        </patternFill>
      </fill>
      <border>
        <top style="thin">
          <color theme="9"/>
        </top>
        <bottom style="thin">
          <color theme="9"/>
        </bottom>
        <vertical/>
        <horizontal/>
      </border>
    </dxf>
    <dxf>
      <fill>
        <patternFill>
          <bgColor theme="9" tint="0.7999799847602844"/>
        </patternFill>
      </fill>
      <border/>
    </dxf>
    <dxf>
      <fill>
        <patternFill>
          <bgColor theme="0"/>
        </patternFill>
      </fill>
      <border>
        <top style="thin">
          <color theme="9" tint="0.7999799847602844"/>
        </top>
        <bottom style="thin">
          <color theme="9" tint="0.7999799847602844"/>
        </bottom>
        <vertical/>
        <horizontal/>
      </border>
    </dxf>
    <dxf>
      <numFmt numFmtId="201" formatCode="&quot;    &quot;@"/>
      <border/>
    </dxf>
    <dxf>
      <numFmt numFmtId="202" formatCode="&quot;  &quot;@"/>
      <border/>
    </dxf>
    <dxf>
      <font>
        <color theme="0"/>
      </font>
      <fill>
        <patternFill patternType="none"/>
      </fill>
      <border>
        <right/>
        <top/>
        <bottom/>
        <vertical/>
        <horizontal/>
      </border>
    </dxf>
    <dxf>
      <font>
        <color theme="0"/>
      </font>
      <border/>
    </dxf>
    <dxf>
      <font>
        <b/>
        <i val="0"/>
      </font>
      <fill>
        <patternFill>
          <bgColor theme="9" tint="0.3999499976634979"/>
        </patternFill>
      </fill>
      <border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9" tint="0.7999799847602844"/>
        </patternFill>
      </fill>
      <border>
        <top style="thin">
          <color theme="9"/>
        </top>
        <bottom style="thin">
          <color theme="9"/>
        </bottom>
        <vertical/>
        <horizontal/>
      </border>
    </dxf>
    <dxf>
      <fill>
        <patternFill>
          <bgColor theme="9" tint="0.7999799847602844"/>
        </patternFill>
      </fill>
      <border/>
    </dxf>
    <dxf>
      <fill>
        <patternFill>
          <bgColor theme="0"/>
        </patternFill>
      </fill>
      <border>
        <top style="thin">
          <color theme="9" tint="0.7999799847602844"/>
        </top>
        <bottom style="thin">
          <color theme="9" tint="0.7999799847602844"/>
        </bottom>
        <vertical/>
        <horizontal/>
      </border>
    </dxf>
    <dxf>
      <font>
        <color theme="0"/>
      </font>
      <border/>
    </dxf>
    <dxf>
      <font>
        <b/>
        <i val="0"/>
      </font>
      <fill>
        <patternFill>
          <bgColor theme="9" tint="0.3999499976634979"/>
        </patternFill>
      </fill>
      <border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9" tint="0.7999799847602844"/>
        </patternFill>
      </fill>
      <border>
        <top style="thin">
          <color theme="9"/>
        </top>
        <bottom style="thin">
          <color theme="9"/>
        </bottom>
        <vertical/>
        <horizontal/>
      </border>
    </dxf>
    <dxf>
      <fill>
        <patternFill>
          <bgColor theme="9" tint="0.7999799847602844"/>
        </patternFill>
      </fill>
      <border/>
    </dxf>
    <dxf>
      <fill>
        <patternFill>
          <bgColor theme="0"/>
        </patternFill>
      </fill>
      <border>
        <top style="thin">
          <color theme="9" tint="0.7999799847602844"/>
        </top>
        <bottom style="thin">
          <color theme="9" tint="0.7999799847602844"/>
        </bottom>
        <vertical/>
        <horizontal/>
      </border>
    </dxf>
    <dxf>
      <font>
        <color theme="0"/>
      </font>
      <border/>
    </dxf>
    <dxf>
      <font>
        <b/>
        <i val="0"/>
      </font>
      <fill>
        <patternFill>
          <bgColor theme="9" tint="0.3999499976634979"/>
        </patternFill>
      </fill>
      <border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9" tint="0.7999799847602844"/>
        </patternFill>
      </fill>
      <border>
        <top style="thin">
          <color theme="9"/>
        </top>
        <bottom style="thin">
          <color theme="9"/>
        </bottom>
        <vertical/>
        <horizontal/>
      </border>
    </dxf>
    <dxf>
      <fill>
        <patternFill>
          <bgColor theme="9" tint="0.7999799847602844"/>
        </patternFill>
      </fill>
      <border/>
    </dxf>
    <dxf>
      <fill>
        <patternFill>
          <bgColor theme="0"/>
        </patternFill>
      </fill>
      <border>
        <top style="thin">
          <color theme="9" tint="0.7999799847602844"/>
        </top>
        <bottom style="thin">
          <color theme="9" tint="0.7999799847602844"/>
        </bottom>
        <vertical/>
        <horizontal/>
      </border>
    </dxf>
    <dxf>
      <font>
        <color theme="0"/>
      </font>
      <border/>
    </dxf>
    <dxf>
      <font>
        <b/>
        <i val="0"/>
      </font>
      <fill>
        <patternFill>
          <bgColor theme="9" tint="0.3999499976634979"/>
        </patternFill>
      </fill>
      <border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9" tint="0.7999799847602844"/>
        </patternFill>
      </fill>
      <border>
        <top style="thin">
          <color theme="9"/>
        </top>
        <bottom style="thin">
          <color theme="9"/>
        </bottom>
        <vertical/>
        <horizontal/>
      </border>
    </dxf>
    <dxf>
      <fill>
        <patternFill>
          <bgColor theme="9" tint="0.7999799847602844"/>
        </patternFill>
      </fill>
      <border/>
    </dxf>
    <dxf>
      <fill>
        <patternFill>
          <bgColor theme="0"/>
        </patternFill>
      </fill>
      <border>
        <top style="thin">
          <color theme="9" tint="0.7999799847602844"/>
        </top>
        <bottom style="thin">
          <color theme="9" tint="0.7999799847602844"/>
        </bottom>
        <vertical/>
        <horizontal/>
      </border>
    </dxf>
    <dxf>
      <font>
        <color theme="0"/>
      </font>
      <border/>
    </dxf>
    <dxf>
      <font>
        <b/>
        <i val="0"/>
      </font>
      <fill>
        <patternFill>
          <bgColor theme="9" tint="0.3999499976634979"/>
        </patternFill>
      </fill>
      <border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9" tint="0.7999799847602844"/>
        </patternFill>
      </fill>
      <border>
        <top style="thin">
          <color theme="9"/>
        </top>
        <bottom style="thin">
          <color theme="9"/>
        </bottom>
        <vertical/>
        <horizontal/>
      </border>
    </dxf>
    <dxf>
      <fill>
        <patternFill>
          <bgColor theme="9" tint="0.7999799847602844"/>
        </patternFill>
      </fill>
      <border/>
    </dxf>
    <dxf>
      <fill>
        <patternFill>
          <bgColor theme="0"/>
        </patternFill>
      </fill>
      <border>
        <top style="thin">
          <color theme="9" tint="0.7999799847602844"/>
        </top>
        <bottom style="thin">
          <color theme="9" tint="0.7999799847602844"/>
        </bottom>
        <vertical/>
        <horizontal/>
      </border>
    </dxf>
    <dxf>
      <font>
        <color theme="0"/>
      </font>
      <border/>
    </dxf>
    <dxf>
      <font>
        <b/>
        <i val="0"/>
      </font>
      <fill>
        <patternFill>
          <bgColor theme="8" tint="0.3999499976634979"/>
        </patternFill>
      </fill>
      <border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8" tint="0.7999799847602844"/>
        </patternFill>
      </fill>
      <border>
        <top style="thin">
          <color theme="8"/>
        </top>
        <bottom style="thin">
          <color theme="8"/>
        </bottom>
        <vertical/>
        <horizontal/>
      </border>
    </dxf>
    <dxf>
      <fill>
        <patternFill>
          <bgColor theme="8" tint="0.7999799847602844"/>
        </patternFill>
      </fill>
      <border/>
    </dxf>
    <dxf>
      <fill>
        <patternFill>
          <bgColor theme="0"/>
        </patternFill>
      </fill>
      <border>
        <top style="thin">
          <color theme="8" tint="0.7999799847602844"/>
        </top>
        <bottom style="thin">
          <color theme="8" tint="0.7999799847602844"/>
        </bottom>
        <vertical/>
        <horizontal/>
      </border>
    </dxf>
    <dxf>
      <font>
        <color theme="0"/>
      </font>
      <border/>
    </dxf>
    <dxf>
      <font>
        <b/>
        <i val="0"/>
      </font>
      <fill>
        <patternFill>
          <bgColor theme="8" tint="0.3999499976634979"/>
        </patternFill>
      </fill>
      <border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8" tint="0.7999799847602844"/>
        </patternFill>
      </fill>
      <border>
        <top style="thin">
          <color theme="8"/>
        </top>
        <bottom style="thin">
          <color theme="8"/>
        </bottom>
        <vertical/>
        <horizontal/>
      </border>
    </dxf>
    <dxf>
      <fill>
        <patternFill>
          <bgColor theme="8" tint="0.7999799847602844"/>
        </patternFill>
      </fill>
      <border/>
    </dxf>
    <dxf>
      <fill>
        <patternFill>
          <bgColor theme="0"/>
        </patternFill>
      </fill>
      <border>
        <top style="thin">
          <color theme="8" tint="0.7999799847602844"/>
        </top>
        <bottom style="thin">
          <color theme="8" tint="0.7999799847602844"/>
        </bottom>
        <vertical/>
        <horizontal/>
      </border>
    </dxf>
    <dxf>
      <font>
        <color theme="0"/>
      </font>
      <border/>
    </dxf>
    <dxf>
      <font>
        <b/>
        <i val="0"/>
      </font>
      <fill>
        <patternFill>
          <bgColor theme="8" tint="0.3999499976634979"/>
        </patternFill>
      </fill>
      <border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8" tint="0.7999799847602844"/>
        </patternFill>
      </fill>
      <border>
        <top style="thin">
          <color theme="8"/>
        </top>
        <bottom style="thin">
          <color theme="8"/>
        </bottom>
        <vertical/>
        <horizontal/>
      </border>
    </dxf>
    <dxf>
      <fill>
        <patternFill>
          <bgColor theme="8" tint="0.7999799847602844"/>
        </patternFill>
      </fill>
      <border/>
    </dxf>
    <dxf>
      <fill>
        <patternFill>
          <bgColor theme="0"/>
        </patternFill>
      </fill>
      <border>
        <top style="thin">
          <color theme="8" tint="0.7999799847602844"/>
        </top>
        <bottom style="thin">
          <color theme="8" tint="0.7999799847602844"/>
        </bottom>
        <vertical/>
        <horizontal/>
      </border>
    </dxf>
    <dxf>
      <font>
        <color theme="0"/>
      </font>
      <border/>
    </dxf>
    <dxf>
      <font>
        <b/>
        <i val="0"/>
      </font>
      <fill>
        <patternFill>
          <bgColor theme="8" tint="0.3999499976634979"/>
        </patternFill>
      </fill>
      <border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8" tint="0.7999799847602844"/>
        </patternFill>
      </fill>
      <border>
        <top style="thin">
          <color theme="8"/>
        </top>
        <bottom style="thin">
          <color theme="8"/>
        </bottom>
        <vertical/>
        <horizontal/>
      </border>
    </dxf>
    <dxf>
      <fill>
        <patternFill>
          <bgColor theme="8" tint="0.7999799847602844"/>
        </patternFill>
      </fill>
      <border/>
    </dxf>
    <dxf>
      <fill>
        <patternFill>
          <bgColor theme="0"/>
        </patternFill>
      </fill>
      <border>
        <top style="thin">
          <color theme="8" tint="0.7999799847602844"/>
        </top>
        <bottom style="thin">
          <color theme="8" tint="0.7999799847602844"/>
        </bottom>
        <vertical/>
        <horizontal/>
      </border>
    </dxf>
    <dxf>
      <font>
        <color theme="0"/>
      </font>
      <border/>
    </dxf>
    <dxf>
      <font>
        <color theme="0"/>
      </font>
      <border/>
    </dxf>
    <dxf>
      <font>
        <b/>
        <i val="0"/>
      </font>
      <fill>
        <patternFill>
          <bgColor theme="8" tint="0.3999499976634979"/>
        </patternFill>
      </fill>
      <border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8" tint="0.7999799847602844"/>
        </patternFill>
      </fill>
      <border>
        <top style="thin">
          <color theme="8"/>
        </top>
        <bottom style="thin">
          <color theme="8"/>
        </bottom>
        <vertical/>
        <horizontal/>
      </border>
    </dxf>
    <dxf>
      <fill>
        <patternFill>
          <bgColor theme="8" tint="0.7999799847602844"/>
        </patternFill>
      </fill>
      <border/>
    </dxf>
    <dxf>
      <fill>
        <patternFill>
          <bgColor theme="0"/>
        </patternFill>
      </fill>
      <border>
        <top style="thin">
          <color theme="8" tint="0.7999799847602844"/>
        </top>
        <bottom style="thin">
          <color theme="8" tint="0.7999799847602844"/>
        </bottom>
        <vertical/>
        <horizontal/>
      </border>
    </dxf>
    <dxf>
      <font>
        <b/>
        <i val="0"/>
      </font>
      <fill>
        <patternFill>
          <bgColor theme="9" tint="0.3999499976634979"/>
        </patternFill>
      </fill>
      <border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9" tint="0.7999799847602844"/>
        </patternFill>
      </fill>
      <border>
        <top style="thin">
          <color theme="9"/>
        </top>
        <bottom style="thin">
          <color theme="9"/>
        </bottom>
        <vertical/>
        <horizontal/>
      </border>
    </dxf>
    <dxf>
      <fill>
        <patternFill>
          <bgColor theme="9" tint="0.7999799847602844"/>
        </patternFill>
      </fill>
      <border/>
    </dxf>
    <dxf>
      <fill>
        <patternFill>
          <bgColor theme="0"/>
        </patternFill>
      </fill>
      <border>
        <top style="thin">
          <color theme="9" tint="0.7999799847602844"/>
        </top>
        <bottom style="thin">
          <color theme="9" tint="0.7999799847602844"/>
        </bottom>
        <vertical/>
        <horizontal/>
      </border>
    </dxf>
    <dxf>
      <numFmt numFmtId="201" formatCode="&quot;    &quot;@"/>
      <border/>
    </dxf>
    <dxf>
      <numFmt numFmtId="202" formatCode="&quot;  &quot;@"/>
      <border/>
    </dxf>
    <dxf>
      <font>
        <b/>
        <i val="0"/>
        <color rgb="FFC00000"/>
      </font>
      <border/>
    </dxf>
    <dxf>
      <font>
        <b/>
        <i val="0"/>
        <color rgb="FFC00000"/>
      </font>
      <border/>
    </dxf>
    <dxf>
      <font>
        <color rgb="FFC0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203" formatCode="#,##0"/>
    </dxf>
    <dxf>
      <numFmt numFmtId="203" formatCode="#,##0"/>
    </dxf>
    <dxf>
      <numFmt numFmtId="203" formatCode="#,##0"/>
    </dxf>
    <dxf>
      <numFmt numFmtId="203" formatCode="#,##0"/>
    </dxf>
    <dxf>
      <numFmt numFmtId="203" formatCode="#,##0"/>
    </dxf>
    <dxf>
      <numFmt numFmtId="204" formatCode="General"/>
    </dxf>
    <dxf>
      <numFmt numFmtId="204" formatCode="General"/>
    </dxf>
    <dxf>
      <numFmt numFmtId="204" formatCode="General"/>
    </dxf>
    <dxf>
      <numFmt numFmtId="204" formatCode="General"/>
    </dxf>
    <dxf>
      <numFmt numFmtId="204" formatCode="General"/>
    </dxf>
    <dxf>
      <numFmt numFmtId="204" formatCode="General"/>
    </dxf>
    <dxf>
      <numFmt numFmtId="204" formatCode="General"/>
    </dxf>
    <dxf>
      <numFmt numFmtId="200" formatCode="0000_ 00"/>
    </dxf>
    <dxf>
      <numFmt numFmtId="200" formatCode="0000_ 00"/>
    </dxf>
    <dxf>
      <alignment horizontal="center" textRotation="0" wrapText="1" shrinkToFit="1" readingOrder="0"/>
    </dxf>
    <dxf>
      <alignment horizontal="center" textRotation="0" wrapText="1" shrinkToFit="1" readingOrder="0"/>
    </dxf>
    <dxf>
      <font>
        <b val="0"/>
      </font>
    </dxf>
    <dxf>
      <fill>
        <patternFill patternType="solid">
          <fgColor theme="7" tint="0.7999799847602844"/>
          <bgColor theme="7" tint="0.7999799847602844"/>
        </patternFill>
      </fill>
    </dxf>
    <dxf>
      <fill>
        <patternFill patternType="solid">
          <fgColor theme="7" tint="0.7999799847602844"/>
          <bgColor theme="7" tint="0.7999799847602844"/>
        </patternFill>
      </fill>
    </dxf>
    <dxf>
      <font>
        <b/>
        <color theme="1"/>
      </font>
      <fill>
        <patternFill>
          <fgColor theme="7" tint="0.7999799847602844"/>
          <bgColor theme="7" tint="0.7999799847602844"/>
        </patternFill>
      </fill>
    </dxf>
    <dxf>
      <font>
        <b/>
        <color theme="1"/>
      </font>
      <fill>
        <patternFill patternType="solid">
          <fgColor theme="7" tint="0.5999600291252136"/>
          <bgColor theme="7" tint="0.5999600291252136"/>
        </patternFill>
      </fill>
    </dxf>
    <dxf>
      <font>
        <b/>
        <i val="0"/>
        <color theme="1"/>
      </font>
      <fill>
        <patternFill>
          <fgColor theme="7" tint="0.5999600291252136"/>
          <bgColor theme="7" tint="0.5999600291252136"/>
        </patternFill>
      </fill>
    </dxf>
    <dxf>
      <font>
        <b/>
        <color theme="1"/>
      </font>
      <fill>
        <patternFill patternType="solid">
          <fgColor theme="7" tint="0.3999499976634979"/>
          <bgColor theme="7" tint="0.5999900102615356"/>
        </patternFill>
      </fill>
    </dxf>
    <dxf>
      <font>
        <b/>
        <color theme="1"/>
      </font>
      <border>
        <left style="medium">
          <color theme="7" tint="0.5999900102615356"/>
        </left>
        <right style="medium">
          <color theme="7" tint="0.5999900102615356"/>
        </right>
        <top style="medium">
          <color theme="7" tint="0.5999900102615356"/>
        </top>
        <bottom style="medium">
          <color theme="7" tint="0.5999900102615356"/>
        </bottom>
      </border>
    </dxf>
    <dxf>
      <border>
        <left style="thin">
          <color theme="7" tint="0.39998000860214233"/>
        </left>
        <right style="thin">
          <color theme="7" tint="0.39998000860214233"/>
        </right>
      </border>
    </dxf>
    <dxf>
      <border>
        <top style="thin">
          <color theme="7" tint="0.39998000860214233"/>
        </top>
        <bottom style="thin">
          <color theme="7" tint="0.39998000860214233"/>
        </bottom>
        <horizontal style="thin">
          <color theme="7" tint="0.39998000860214233"/>
        </horizontal>
      </border>
    </dxf>
    <dxf>
      <font>
        <b/>
        <color theme="1"/>
      </font>
      <border>
        <top style="thin">
          <color theme="7" tint="-0.24997000396251678"/>
        </top>
        <bottom style="medium">
          <color theme="7" tint="-0.24997000396251678"/>
        </bottom>
      </border>
    </dxf>
    <dxf>
      <font>
        <b/>
        <color theme="0"/>
      </font>
      <fill>
        <patternFill patternType="solid">
          <fgColor theme="7"/>
          <bgColor theme="7"/>
        </patternFill>
      </fill>
      <border>
        <top style="medium">
          <color theme="7" tint="-0.24997000396251678"/>
        </top>
      </border>
    </dxf>
    <dxf>
      <font>
        <color theme="1"/>
      </font>
    </dxf>
    <dxf>
      <font>
        <color theme="0"/>
      </font>
      <fill>
        <patternFill patternType="solid">
          <fgColor theme="9" tint="-0.4999699890613556"/>
          <bgColor theme="9" tint="-0.4999699890613556"/>
        </patternFill>
      </fill>
      <border>
        <horizontal style="thin">
          <color theme="9" tint="-0.4999699890613556"/>
        </horizontal>
      </border>
    </dxf>
    <dxf>
      <font>
        <b/>
        <color theme="0"/>
      </font>
      <fill>
        <patternFill patternType="solid">
          <fgColor theme="9" tint="-0.4999699890613556"/>
          <bgColor theme="9" tint="-0.4999699890613556"/>
        </patternFill>
      </fill>
      <border>
        <horizontal style="thin">
          <color theme="9" tint="-0.4999699890613556"/>
        </horizontal>
      </border>
    </dxf>
    <dxf>
      <fill>
        <patternFill>
          <fgColor theme="9" tint="0.7999799847602844"/>
          <bgColor theme="9" tint="0.7999799847602844"/>
        </patternFill>
      </fill>
    </dxf>
    <dxf>
      <font>
        <b/>
        <color theme="1"/>
      </font>
      <fill>
        <patternFill>
          <fgColor theme="9" tint="0.7999799847602844"/>
          <bgColor theme="9" tint="0.7999799847602844"/>
        </patternFill>
      </fill>
      <border>
        <top style="thin">
          <color theme="9" tint="-0.24993999302387238"/>
        </top>
        <bottom style="thin">
          <color theme="9" tint="-0.24993999302387238"/>
        </bottom>
        <horizontal style="thin">
          <color theme="9" tint="-0.24993999302387238"/>
        </horizontal>
      </border>
    </dxf>
    <dxf>
      <font>
        <b/>
        <color theme="1"/>
      </font>
      <fill>
        <patternFill patternType="solid">
          <fgColor theme="9" tint="0.3999499976634979"/>
          <bgColor theme="9" tint="0.3999499976634979"/>
        </patternFill>
      </fill>
      <border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b/>
        <i val="0"/>
      </font>
    </dxf>
    <dxf>
      <font>
        <b/>
        <i val="0"/>
      </font>
      <fill>
        <patternFill>
          <fgColor theme="0" tint="-0.04997999966144562"/>
          <bgColor theme="0" tint="-0.04997999966144562"/>
        </patternFill>
      </fill>
    </dxf>
    <dxf>
      <font>
        <b/>
        <i val="0"/>
        <color theme="0"/>
      </font>
      <fill>
        <patternFill>
          <fgColor theme="9" tint="-0.4999699890613556"/>
          <bgColor theme="9" tint="-0.4999699890613556"/>
        </patternFill>
      </fill>
      <border>
        <bottom style="thin">
          <color theme="9" tint="0.7999799847602844"/>
        </bottom>
      </border>
    </dxf>
    <dxf>
      <border>
        <left style="thin">
          <color theme="9" tint="0.7999799847602844"/>
        </left>
        <right style="thin">
          <color theme="9" tint="0.7999799847602844"/>
        </right>
      </border>
    </dxf>
    <dxf>
      <fill>
        <patternFill patternType="solid">
          <fgColor theme="9" tint="0.39998000860214233"/>
          <bgColor theme="9" tint="0.39998000860214233"/>
        </patternFill>
      </fill>
    </dxf>
    <dxf>
      <font>
        <b/>
        <i val="0"/>
        <color theme="0"/>
      </font>
      <fill>
        <patternFill patternType="solid">
          <fgColor theme="9" tint="-0.4999699890613556"/>
          <bgColor theme="9" tint="-0.4999699890613556"/>
        </patternFill>
      </fill>
      <border>
        <top style="thin">
          <color theme="9" tint="0.7999799847602844"/>
        </top>
      </border>
    </dxf>
    <dxf>
      <font>
        <b/>
        <color theme="0"/>
      </font>
      <fill>
        <patternFill patternType="solid">
          <fgColor theme="9" tint="-0.4999699890613556"/>
          <bgColor theme="9" tint="-0.4999699890613556"/>
        </patternFill>
      </fill>
      <border>
        <bottom style="thin">
          <color theme="9"/>
        </bottom>
        <horizontal style="thin">
          <color theme="9" tint="-0.4999699890613556"/>
        </horizontal>
      </border>
    </dxf>
    <dxf>
      <font>
        <color theme="1"/>
      </font>
      <fill>
        <patternFill patternType="none"/>
      </fill>
      <border>
        <horizontal style="thin">
          <color theme="9" tint="0.7999799847602844"/>
        </horizontal>
      </border>
    </dxf>
    <dxf>
      <font>
        <b val="0"/>
        <i val="0"/>
        <color theme="0"/>
      </font>
      <fill>
        <patternFill>
          <fgColor theme="8" tint="-0.24993999302387238"/>
          <bgColor theme="8" tint="-0.24993999302387238"/>
        </patternFill>
      </fill>
      <border>
        <top style="thin">
          <color theme="8" tint="0.7999799847602844"/>
        </top>
        <bottom style="thin">
          <color theme="8" tint="0.7999799847602844"/>
        </bottom>
      </border>
    </dxf>
    <dxf>
      <font>
        <b/>
        <i val="0"/>
        <color theme="0"/>
      </font>
      <fill>
        <patternFill>
          <fgColor theme="8" tint="-0.24993999302387238"/>
          <bgColor theme="8" tint="-0.24993999302387238"/>
        </patternFill>
      </fill>
      <border>
        <top style="thin">
          <color theme="8" tint="0.7999799847602844"/>
        </top>
        <bottom style="thin">
          <color theme="8" tint="0.7999799847602844"/>
        </bottom>
      </border>
    </dxf>
    <dxf>
      <fill>
        <patternFill>
          <bgColor theme="8" tint="0.7999799847602844"/>
        </patternFill>
      </fill>
    </dxf>
    <dxf>
      <font>
        <b/>
        <i val="0"/>
      </font>
      <fill>
        <patternFill patternType="solid">
          <fgColor theme="8" tint="0.7999799847602844"/>
          <bgColor theme="8" tint="0.7999799847602844"/>
        </patternFill>
      </fill>
      <border>
        <bottom style="thin">
          <color theme="8"/>
        </bottom>
      </border>
    </dxf>
    <dxf>
      <font>
        <b/>
        <i val="0"/>
        <color theme="1"/>
      </font>
      <fill>
        <patternFill patternType="solid">
          <fgColor theme="8" tint="0.39998000860214233"/>
          <bgColor theme="8" tint="0.39998000860214233"/>
        </patternFill>
      </fill>
      <border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b val="0"/>
        <i val="0"/>
      </font>
      <border>
        <bottom style="thin">
          <color theme="8" tint="0.5999900102615356"/>
        </bottom>
      </border>
    </dxf>
    <dxf>
      <font>
        <b/>
        <i val="0"/>
      </font>
    </dxf>
    <dxf>
      <font>
        <b/>
        <color theme="1"/>
      </font>
      <fill>
        <patternFill patternType="solid">
          <fgColor theme="0" tint="-0.1499900072813034"/>
          <bgColor theme="0" tint="-0.1499900072813034"/>
        </patternFill>
      </fill>
    </dxf>
    <dxf>
      <font>
        <b/>
        <i val="0"/>
        <color theme="0"/>
      </font>
      <fill>
        <patternFill patternType="solid">
          <fgColor theme="8" tint="-0.24993999302387238"/>
          <bgColor theme="8" tint="-0.24993999302387238"/>
        </patternFill>
      </fill>
    </dxf>
    <dxf>
      <font>
        <b/>
        <color theme="0"/>
      </font>
    </dxf>
    <dxf>
      <border>
        <left style="thin">
          <color theme="8" tint="-0.24997000396251678"/>
        </left>
        <right style="thin">
          <color theme="8" tint="-0.24997000396251678"/>
        </right>
      </border>
    </dxf>
    <dxf>
      <border>
        <top style="thin">
          <color theme="8" tint="-0.24997000396251678"/>
        </top>
        <bottom style="thin">
          <color theme="8" tint="-0.24997000396251678"/>
        </bottom>
        <horizontal style="thin">
          <color theme="8" tint="-0.24997000396251678"/>
        </horizontal>
      </border>
    </dxf>
    <dxf>
      <font>
        <b/>
        <i val="0"/>
        <color theme="0"/>
      </font>
      <fill>
        <patternFill>
          <fgColor theme="8" tint="-0.24993999302387238"/>
          <bgColor theme="8" tint="-0.24993999302387238"/>
        </patternFill>
      </fill>
      <border>
        <top style="thin">
          <color theme="8" tint="0.7999799847602844"/>
        </top>
      </border>
    </dxf>
    <dxf>
      <font>
        <color theme="0"/>
      </font>
      <fill>
        <patternFill patternType="solid">
          <fgColor theme="8" tint="-0.24997000396251678"/>
          <bgColor theme="8" tint="-0.24997000396251678"/>
        </patternFill>
      </fill>
      <border>
        <horizontal style="thin">
          <color theme="8" tint="-0.24997000396251678"/>
        </horizontal>
      </border>
    </dxf>
    <dxf>
      <font>
        <color theme="1"/>
      </font>
      <border>
        <horizontal style="thin">
          <color theme="8" tint="0.7999799847602844"/>
        </horizontal>
      </border>
    </dxf>
  </dxfs>
  <tableStyles count="3" defaultTableStyle="TableStyleMedium9" defaultPivotStyle="PivotStyleLight16">
    <tableStyle name="Pivot_Period" table="0" count="15">
      <tableStyleElement type="wholeTable" dxfId="177"/>
      <tableStyleElement type="headerRow" dxfId="176"/>
      <tableStyleElement type="totalRow" dxfId="175"/>
      <tableStyleElement type="firstRowStripe" dxfId="174"/>
      <tableStyleElement type="firstColumnStripe" dxfId="173"/>
      <tableStyleElement type="firstHeaderCell" dxfId="172"/>
      <tableStyleElement type="firstSubtotalRow" dxfId="171"/>
      <tableStyleElement type="secondSubtotalRow" dxfId="170"/>
      <tableStyleElement type="thirdSubtotalRow" dxfId="169"/>
      <tableStyleElement type="firstColumnSubheading" dxfId="168"/>
      <tableStyleElement type="firstRowSubheading" dxfId="167"/>
      <tableStyleElement type="secondRowSubheading" dxfId="166"/>
      <tableStyleElement type="thirdRowSubheading" dxfId="165"/>
      <tableStyleElement type="pageFieldLabels" dxfId="164"/>
      <tableStyleElement type="pageFieldValues" dxfId="163"/>
    </tableStyle>
    <tableStyle name="Pivot_ToDate" table="0" count="13">
      <tableStyleElement type="wholeTable" dxfId="162"/>
      <tableStyleElement type="headerRow" dxfId="161"/>
      <tableStyleElement type="totalRow" dxfId="160"/>
      <tableStyleElement type="secondRowStripe" dxfId="159"/>
      <tableStyleElement type="secondColumnStripe" dxfId="158"/>
      <tableStyleElement type="firstSubtotalRow" dxfId="157"/>
      <tableStyleElement type="secondSubtotalRow" dxfId="156"/>
      <tableStyleElement type="thirdSubtotalRow" dxfId="155"/>
      <tableStyleElement type="firstRowSubheading" dxfId="154"/>
      <tableStyleElement type="secondRowSubheading" dxfId="153"/>
      <tableStyleElement type="thirdRowSubheading" dxfId="152"/>
      <tableStyleElement type="pageFieldLabels" dxfId="151"/>
      <tableStyleElement type="pageFieldValues" dxfId="150"/>
    </tableStyle>
    <tableStyle name="Test style" table="0" count="12">
      <tableStyleElement type="wholeTable" dxfId="149"/>
      <tableStyleElement type="headerRow" dxfId="148"/>
      <tableStyleElement type="totalRow" dxfId="147"/>
      <tableStyleElement type="firstRowStripe" dxfId="146"/>
      <tableStyleElement type="firstColumnStripe" dxfId="145"/>
      <tableStyleElement type="firstSubtotalColumn" dxfId="144"/>
      <tableStyleElement type="firstSubtotalRow" dxfId="143"/>
      <tableStyleElement type="secondSubtotalRow" dxfId="142"/>
      <tableStyleElement type="firstRowSubheading" dxfId="141"/>
      <tableStyleElement type="secondRowSubheading" dxfId="140"/>
      <tableStyleElement type="pageFieldLabels" dxfId="139"/>
      <tableStyleElement type="pageFieldValues" dxfId="13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72E52"/>
      <rgbColor rgb="00FFFFFF"/>
      <rgbColor rgb="006A8297"/>
      <rgbColor rgb="00E0F5B0"/>
      <rgbColor rgb="000000FF"/>
      <rgbColor rgb="00999999"/>
      <rgbColor rgb="009CABBA"/>
      <rgbColor rgb="0000FFFF"/>
      <rgbColor rgb="00395875"/>
      <rgbColor rgb="00C1EA61"/>
      <rgbColor rgb="00000080"/>
      <rgbColor rgb="00333333"/>
      <rgbColor rgb="00E5E5E5"/>
      <rgbColor rgb="00FA3C72"/>
      <rgbColor rgb="00C0C0C0"/>
      <rgbColor rgb="00808080"/>
      <rgbColor rgb="00395875"/>
      <rgbColor rgb="0061593D"/>
      <rgbColor rgb="00C1EA61"/>
      <rgbColor rgb="008396A8"/>
      <rgbColor rgb="0089836D"/>
      <rgbColor rgb="00D0EF89"/>
      <rgbColor rgb="00CDD5DC"/>
      <rgbColor rgb="00DEDECE"/>
      <rgbColor rgb="00395875"/>
      <rgbColor rgb="0061593D"/>
      <rgbColor rgb="00C1EA61"/>
      <rgbColor rgb="008396A8"/>
      <rgbColor rgb="0089836D"/>
      <rgbColor rgb="00D0EF89"/>
      <rgbColor rgb="00CDD5DC"/>
      <rgbColor rgb="00DEDECE"/>
      <rgbColor rgb="0000CCFF"/>
      <rgbColor rgb="00CCFFFF"/>
      <rgbColor rgb="00EFFAD8"/>
      <rgbColor rgb="00CCCCCC"/>
      <rgbColor rgb="0099CCFF"/>
      <rgbColor rgb="00CDD5DC"/>
      <rgbColor rgb="00FEE8EE"/>
      <rgbColor rgb="00DEDECE"/>
      <rgbColor rgb="003366FF"/>
      <rgbColor rgb="00FA9AB6"/>
      <rgbColor rgb="00666666"/>
      <rgbColor rgb="00B0AC9E"/>
      <rgbColor rgb="0089836D"/>
      <rgbColor rgb="0061593D"/>
      <rgbColor rgb="00EBEAE6"/>
      <rgbColor rgb="00969696"/>
      <rgbColor rgb="00D50641"/>
      <rgbColor rgb="00D0EF89"/>
      <rgbColor rgb="00B1E53A"/>
      <rgbColor rgb="00000000"/>
      <rgbColor rgb="003A300C"/>
      <rgbColor rgb="00F7FCEB"/>
      <rgbColor rgb="00E6EAED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fmlaLink="QA_01_value" lockText="1" noThreeD="1"/>
</file>

<file path=xl/ctrlProps/ctrlProp2.xml><?xml version="1.0" encoding="utf-8"?>
<formControlPr xmlns="http://schemas.microsoft.com/office/spreadsheetml/2009/9/main" objectType="CheckBox" fmlaLink="QA_02_value" lockText="1" noThreeD="1"/>
</file>

<file path=xl/ctrlProps/ctrlProp3.xml><?xml version="1.0" encoding="utf-8"?>
<formControlPr xmlns="http://schemas.microsoft.com/office/spreadsheetml/2009/9/main" objectType="CheckBox" fmlaLink="QA_03_value" lockText="1" noThreeD="1"/>
</file>

<file path=xl/ctrlProps/ctrlProp4.xml><?xml version="1.0" encoding="utf-8"?>
<formControlPr xmlns="http://schemas.microsoft.com/office/spreadsheetml/2009/9/main" objectType="CheckBox" fmlaLink="QA_04_value" lockText="1" noThreeD="1"/>
</file>

<file path=xl/ctrlProps/ctrlProp5.xml><?xml version="1.0" encoding="utf-8"?>
<formControlPr xmlns="http://schemas.microsoft.com/office/spreadsheetml/2009/9/main" objectType="CheckBox" fmlaLink="QA_05_value" lockText="1" noThreeD="1"/>
</file>

<file path=xl/ctrlProps/ctrlProp6.xml><?xml version="1.0" encoding="utf-8"?>
<formControlPr xmlns="http://schemas.microsoft.com/office/spreadsheetml/2009/9/main" objectType="CheckBox" fmlaLink="QA_06_value" lockText="1" noThreeD="1"/>
</file>

<file path=xl/ctrlProps/ctrlProp7.xml><?xml version="1.0" encoding="utf-8"?>
<formControlPr xmlns="http://schemas.microsoft.com/office/spreadsheetml/2009/9/main" objectType="CheckBox" fmlaLink="QA_07_value" lockText="1" noThreeD="1"/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7</xdr:col>
      <xdr:colOff>571500</xdr:colOff>
      <xdr:row>23</xdr:row>
      <xdr:rowOff>95250</xdr:rowOff>
    </xdr:to>
    <xdr:sp macro="" textlink="">
      <xdr:nvSpPr>
        <xdr:cNvPr id="12" name="StatusCallQAComments"/>
        <xdr:cNvSpPr txBox="1"/>
      </xdr:nvSpPr>
      <xdr:spPr>
        <a:xfrm>
          <a:off x="1219200" y="2533650"/>
          <a:ext cx="5076825" cy="12192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nb-NO" sz="900" b="0" i="0" u="none" strike="noStrike" baseline="0">
              <a:solidFill>
                <a:srgbClr val="000000"/>
              </a:solidFill>
              <a:latin typeface="Calibri"/>
            </a:rPr>
            <a:t>1) </a:t>
          </a:r>
        </a:p>
        <a:p>
          <a:pPr algn="l" rtl="0">
            <a:defRPr sz="1000"/>
          </a:pPr>
          <a:r>
            <a:rPr lang="nb-NO" sz="900" b="0" i="0" u="none" strike="noStrike" baseline="0">
              <a:solidFill>
                <a:srgbClr val="000000"/>
              </a:solidFill>
              <a:latin typeface="Calibri"/>
            </a:rPr>
            <a:t>2) </a:t>
          </a:r>
        </a:p>
        <a:p>
          <a:pPr algn="l" rtl="0">
            <a:defRPr sz="1000"/>
          </a:pPr>
          <a:r>
            <a:rPr lang="nb-NO" sz="900" b="0" i="0" u="none" strike="noStrike" baseline="0">
              <a:solidFill>
                <a:srgbClr val="000000"/>
              </a:solidFill>
              <a:latin typeface="Calibri"/>
            </a:rPr>
            <a:t>3) </a:t>
          </a:r>
        </a:p>
        <a:p>
          <a:pPr algn="l" rtl="0">
            <a:defRPr sz="1000"/>
          </a:pPr>
          <a:r>
            <a:rPr lang="nb-NO" sz="900" b="0" i="0" u="none" strike="noStrike" baseline="0">
              <a:solidFill>
                <a:srgbClr val="000000"/>
              </a:solidFill>
              <a:latin typeface="Calibri"/>
            </a:rPr>
            <a:t>4) </a:t>
          </a:r>
        </a:p>
        <a:p>
          <a:pPr algn="l" rtl="0">
            <a:defRPr sz="1000"/>
          </a:pPr>
          <a:r>
            <a:rPr lang="nb-NO" sz="900" b="0" i="0" u="none" strike="noStrike" baseline="0">
              <a:solidFill>
                <a:srgbClr val="000000"/>
              </a:solidFill>
              <a:latin typeface="Calibri"/>
            </a:rPr>
            <a:t>5) </a:t>
          </a:r>
        </a:p>
        <a:p>
          <a:pPr algn="l" rtl="0">
            <a:defRPr sz="1000"/>
          </a:pPr>
          <a:r>
            <a:rPr lang="nb-NO" sz="900" b="0" i="0" u="none" strike="noStrike" baseline="0">
              <a:solidFill>
                <a:srgbClr val="000000"/>
              </a:solidFill>
              <a:latin typeface="Calibri"/>
            </a:rPr>
            <a:t>6) </a:t>
          </a:r>
        </a:p>
        <a:p>
          <a:pPr algn="l" rtl="0">
            <a:defRPr sz="1000"/>
          </a:pPr>
          <a:r>
            <a:rPr lang="nb-NO" sz="900" b="0" i="0" u="none" strike="noStrike" baseline="0">
              <a:solidFill>
                <a:srgbClr val="000000"/>
              </a:solidFill>
              <a:latin typeface="Calibri"/>
            </a:rPr>
            <a:t>7) </a:t>
          </a:r>
        </a:p>
        <a:p>
          <a:pPr algn="l" rtl="0">
            <a:defRPr sz="1000"/>
          </a:pPr>
          <a:endParaRPr lang="nb-NO" sz="9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7</xdr:col>
      <xdr:colOff>571500</xdr:colOff>
      <xdr:row>29</xdr:row>
      <xdr:rowOff>95250</xdr:rowOff>
    </xdr:to>
    <xdr:sp macro="" textlink="">
      <xdr:nvSpPr>
        <xdr:cNvPr id="24" name="StatusCallFollowUp"/>
        <xdr:cNvSpPr txBox="1"/>
      </xdr:nvSpPr>
      <xdr:spPr>
        <a:xfrm>
          <a:off x="1219200" y="3810000"/>
          <a:ext cx="5076825" cy="8953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nb-NO"/>
            <a:t>1.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7</xdr:col>
      <xdr:colOff>571500</xdr:colOff>
      <xdr:row>35</xdr:row>
      <xdr:rowOff>95250</xdr:rowOff>
    </xdr:to>
    <xdr:sp macro="" textlink="">
      <xdr:nvSpPr>
        <xdr:cNvPr id="25" name="StatusCallVismaComments"/>
        <xdr:cNvSpPr txBox="1"/>
      </xdr:nvSpPr>
      <xdr:spPr>
        <a:xfrm>
          <a:off x="1219200" y="4762500"/>
          <a:ext cx="5076825" cy="8953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nb-NO"/>
            <a:t>2.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7</xdr:col>
      <xdr:colOff>571500</xdr:colOff>
      <xdr:row>41</xdr:row>
      <xdr:rowOff>95250</xdr:rowOff>
    </xdr:to>
    <xdr:sp macro="" textlink="">
      <xdr:nvSpPr>
        <xdr:cNvPr id="26" name="StatusCallCustomerComments"/>
        <xdr:cNvSpPr txBox="1"/>
      </xdr:nvSpPr>
      <xdr:spPr>
        <a:xfrm>
          <a:off x="1219200" y="5715000"/>
          <a:ext cx="5076825" cy="8953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nb-NO"/>
            <a:t>3.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7</xdr:col>
      <xdr:colOff>571500</xdr:colOff>
      <xdr:row>48</xdr:row>
      <xdr:rowOff>95250</xdr:rowOff>
    </xdr:to>
    <xdr:sp macro="" textlink="">
      <xdr:nvSpPr>
        <xdr:cNvPr id="15" name="StatusCallCustomerComments"/>
        <xdr:cNvSpPr txBox="1"/>
      </xdr:nvSpPr>
      <xdr:spPr>
        <a:xfrm>
          <a:off x="1219200" y="6829425"/>
          <a:ext cx="5076825" cy="8953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552450</xdr:colOff>
      <xdr:row>0</xdr:row>
      <xdr:rowOff>104775</xdr:rowOff>
    </xdr:from>
    <xdr:to>
      <xdr:col>16</xdr:col>
      <xdr:colOff>523875</xdr:colOff>
      <xdr:row>1</xdr:row>
      <xdr:rowOff>114300</xdr:rowOff>
    </xdr:to>
    <xdr:pic>
      <xdr:nvPicPr>
        <xdr:cNvPr id="2" name="mainTop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20225" y="104775"/>
          <a:ext cx="1076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55</xdr:row>
      <xdr:rowOff>28575</xdr:rowOff>
    </xdr:from>
    <xdr:to>
      <xdr:col>12</xdr:col>
      <xdr:colOff>95250</xdr:colOff>
      <xdr:row>92</xdr:row>
      <xdr:rowOff>114300</xdr:rowOff>
    </xdr:to>
    <xdr:sp macro="" textlink="">
      <xdr:nvSpPr>
        <xdr:cNvPr id="3" name="ReportComments"/>
        <xdr:cNvSpPr txBox="1">
          <a:spLocks noChangeArrowheads="1"/>
        </xdr:cNvSpPr>
      </xdr:nvSpPr>
      <xdr:spPr bwMode="auto">
        <a:xfrm>
          <a:off x="161925" y="8029575"/>
          <a:ext cx="6657975" cy="5372100"/>
        </a:xfrm>
        <a:prstGeom prst="rect">
          <a:avLst/>
        </a:prstGeom>
        <a:solidFill>
          <a:srgbClr val="FFFFFF"/>
        </a:solidFill>
        <a:ln w="9525">
          <a:solidFill>
            <a:srgbClr val="DEDECE"/>
          </a:solidFill>
          <a:miter lim="800000"/>
          <a:headEnd type="none"/>
          <a:tailEnd type="none"/>
        </a:ln>
      </xdr:spPr>
      <xdr:txBody>
        <a:bodyPr vertOverflow="clip" wrap="square" lIns="54000" tIns="54000" rIns="54000" bIns="54000" anchor="t" upright="1"/>
        <a:lstStyle/>
        <a:p>
          <a:pPr algn="l" rtl="0">
            <a:defRPr sz="1000"/>
          </a:pPr>
          <a:r>
            <a:rPr lang="nb-NO" sz="900" b="1" i="0" u="none" strike="noStrike" baseline="0">
              <a:solidFill>
                <a:srgbClr val="000000"/>
              </a:solidFill>
              <a:latin typeface="Calibri"/>
            </a:rPr>
            <a:t>Statussamtale: </a:t>
          </a:r>
          <a:endParaRPr lang="nb-NO" sz="9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nb-NO" sz="900" b="0" i="0" u="none" strike="noStrike" baseline="0">
              <a:solidFill>
                <a:srgbClr val="000000"/>
              </a:solidFill>
              <a:latin typeface="Calibri"/>
            </a:rPr>
            <a:t>Vi ønsker å avholde telefonmøte den </a:t>
          </a:r>
          <a:r>
            <a:rPr lang="nb-NO" sz="900" b="1" i="0" u="none" strike="noStrike" baseline="0">
              <a:solidFill>
                <a:srgbClr val="000000"/>
              </a:solidFill>
              <a:latin typeface="Calibri"/>
            </a:rPr>
            <a:t>dd.mm.åååå</a:t>
          </a:r>
          <a:r>
            <a:rPr lang="nb-NO" sz="900" b="0" i="0" u="none" strike="noStrike" baseline="0">
              <a:solidFill>
                <a:srgbClr val="000000"/>
              </a:solidFill>
              <a:latin typeface="Calibri"/>
            </a:rPr>
            <a:t> klokken </a:t>
          </a:r>
          <a:r>
            <a:rPr lang="nb-NO" sz="900" b="1" i="0" u="none" strike="noStrike" baseline="0">
              <a:solidFill>
                <a:srgbClr val="000000"/>
              </a:solidFill>
              <a:latin typeface="Calibri"/>
            </a:rPr>
            <a:t>tt:mm</a:t>
          </a:r>
          <a:r>
            <a:rPr lang="nb-NO" sz="900" b="0" i="0" u="none" strike="noStrike" baseline="0">
              <a:solidFill>
                <a:srgbClr val="000000"/>
              </a:solidFill>
              <a:latin typeface="Calibri"/>
            </a:rPr>
            <a:t>. Ta kontakt hvis du ønsker et annet tidspunkt.</a:t>
          </a:r>
        </a:p>
        <a:p>
          <a:pPr algn="l" rtl="0">
            <a:defRPr sz="1000"/>
          </a:pPr>
          <a:endParaRPr lang="nb-NO" sz="9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nb-NO" sz="900" b="1" i="0" u="sng" strike="noStrike" baseline="0">
              <a:solidFill>
                <a:srgbClr val="333333"/>
              </a:solidFill>
              <a:latin typeface="Calibri"/>
            </a:rPr>
            <a:t>Kommentar til regnskapet/nøkkeltall </a:t>
          </a:r>
          <a:r>
            <a:rPr lang="nb-NO" sz="900" b="1" i="0" u="sng" strike="noStrike" baseline="0">
              <a:solidFill>
                <a:srgbClr val="000000"/>
              </a:solidFill>
              <a:latin typeface="Calibri"/>
            </a:rPr>
            <a:t>(' betyr tall i tusen)</a:t>
          </a:r>
          <a:endParaRPr lang="nb-NO" sz="900" b="0" i="0" u="sng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nb-NO" sz="900" b="0" i="0" u="none" strike="noStrike" baseline="0">
              <a:solidFill>
                <a:srgbClr val="333333"/>
              </a:solidFill>
              <a:latin typeface="Calibri"/>
            </a:rPr>
            <a:t>Regnskapet er basert på mottatte bilag for perioden. Resultatet for perioden er et underskudd på kr 120'. Fjorårets  resultat for perioden er på kr -99,3'. Hittil i år er resulatet et overskudd  på kr 318'.  Fjoårets resultat per desember var på 1423'. Du ligger nå 1105' bak fjoråret.</a:t>
          </a:r>
        </a:p>
        <a:p>
          <a:pPr algn="l" rtl="0">
            <a:defRPr sz="1000"/>
          </a:pPr>
          <a:endParaRPr lang="nb-NO" sz="900" b="0" i="0" u="none" strike="noStrike" baseline="0">
            <a:solidFill>
              <a:srgbClr val="333333"/>
            </a:solidFill>
            <a:latin typeface="Calibri"/>
          </a:endParaRPr>
        </a:p>
        <a:p>
          <a:pPr algn="l" rtl="0">
            <a:defRPr sz="1000"/>
          </a:pPr>
          <a:endParaRPr lang="nb-NO" sz="900" b="0" i="0" u="none" strike="noStrike" baseline="0">
            <a:solidFill>
              <a:srgbClr val="333333"/>
            </a:solidFill>
            <a:latin typeface="Calibri"/>
          </a:endParaRPr>
        </a:p>
        <a:p>
          <a:pPr algn="l" rtl="0">
            <a:defRPr sz="1000"/>
          </a:pPr>
          <a:r>
            <a:rPr lang="nb-NO" sz="900" b="1" i="0" u="sng" strike="noStrike" baseline="0">
              <a:solidFill>
                <a:srgbClr val="333333"/>
              </a:solidFill>
              <a:latin typeface="Calibri"/>
            </a:rPr>
            <a:t>Kommentar til input:</a:t>
          </a:r>
        </a:p>
        <a:p>
          <a:pPr algn="l" rtl="0">
            <a:defRPr sz="1000"/>
          </a:pPr>
          <a:r>
            <a:rPr lang="nb-NO" sz="900" b="0" i="0" u="none" strike="noStrike" baseline="0">
              <a:solidFill>
                <a:srgbClr val="333333"/>
              </a:solidFill>
              <a:latin typeface="Calibri"/>
            </a:rPr>
            <a:t>Stort sett bra.</a:t>
          </a:r>
        </a:p>
        <a:p>
          <a:pPr algn="l" rtl="0">
            <a:defRPr sz="1000"/>
          </a:pPr>
          <a:endParaRPr lang="nb-NO" sz="900" b="0" i="0" u="none" strike="noStrike" baseline="0">
            <a:solidFill>
              <a:srgbClr val="333333"/>
            </a:solidFill>
            <a:latin typeface="Calibri"/>
          </a:endParaRPr>
        </a:p>
        <a:p>
          <a:pPr algn="l" rtl="0">
            <a:defRPr sz="1000"/>
          </a:pPr>
          <a:endParaRPr lang="nb-NO" sz="900" b="0" i="0" u="none" strike="noStrike" baseline="0">
            <a:solidFill>
              <a:srgbClr val="333333"/>
            </a:solidFill>
            <a:latin typeface="Calibri"/>
          </a:endParaRPr>
        </a:p>
        <a:p>
          <a:pPr algn="l" rtl="0">
            <a:defRPr sz="1000"/>
          </a:pPr>
          <a:r>
            <a:rPr lang="nb-NO" sz="900" b="1" i="0" u="sng" strike="noStrike" baseline="0">
              <a:solidFill>
                <a:srgbClr val="333333"/>
              </a:solidFill>
              <a:latin typeface="Calibri"/>
            </a:rPr>
            <a:t>Kommentar til balansen:</a:t>
          </a:r>
          <a:endParaRPr lang="nb-NO" sz="900" b="0" i="0" u="sng" strike="noStrike" baseline="0">
            <a:solidFill>
              <a:srgbClr val="333333"/>
            </a:solidFill>
            <a:latin typeface="Calibri"/>
          </a:endParaRPr>
        </a:p>
        <a:p>
          <a:pPr algn="l" rtl="0">
            <a:defRPr sz="1000"/>
          </a:pPr>
          <a:r>
            <a:rPr lang="nb-NO" sz="900" b="0" i="0" u="none" strike="noStrike" baseline="0">
              <a:solidFill>
                <a:srgbClr val="333333"/>
              </a:solidFill>
              <a:latin typeface="Calibri"/>
            </a:rPr>
            <a:t>Bank og balanse er avstemt.</a:t>
          </a:r>
        </a:p>
        <a:p>
          <a:pPr algn="l" rtl="0">
            <a:defRPr sz="1000"/>
          </a:pPr>
          <a:endParaRPr lang="nb-NO" sz="900" b="0" i="0" u="none" strike="noStrike" baseline="0">
            <a:solidFill>
              <a:srgbClr val="333333"/>
            </a:solidFill>
            <a:latin typeface="Calibri"/>
          </a:endParaRPr>
        </a:p>
        <a:p>
          <a:pPr algn="l" rtl="0">
            <a:defRPr sz="1000"/>
          </a:pPr>
          <a:r>
            <a:rPr lang="nb-NO" sz="900" b="1" i="0" u="sng" strike="noStrike" baseline="0">
              <a:solidFill>
                <a:srgbClr val="333333"/>
              </a:solidFill>
              <a:latin typeface="Calibri"/>
            </a:rPr>
            <a:t>Kommentar til kundefordringer/forsinket betaling:</a:t>
          </a:r>
        </a:p>
        <a:p>
          <a:pPr rtl="0"/>
          <a:r>
            <a:rPr lang="nb-NO" sz="900" b="0" i="0" u="none" strike="noStrike" baseline="0">
              <a:solidFill>
                <a:srgbClr val="333333"/>
              </a:solidFill>
              <a:latin typeface="Calibri"/>
              <a:ea typeface="+mn-ea"/>
              <a:cs typeface="+mn-cs"/>
            </a:rPr>
            <a:t>Det er totalt kundefordringer på kr 37845. Dette stemmer overens med listen fra stasjon som viser hva som er utestående.</a:t>
          </a:r>
          <a:endParaRPr lang="nb-NO" sz="900" b="0" i="0" u="none" strike="noStrike" baseline="0">
            <a:solidFill>
              <a:srgbClr val="333333"/>
            </a:solidFill>
            <a:latin typeface="Calibri"/>
          </a:endParaRPr>
        </a:p>
        <a:p>
          <a:pPr algn="l" rtl="0">
            <a:defRPr sz="1000"/>
          </a:pPr>
          <a:endParaRPr lang="nb-NO" sz="900" b="0" i="0" u="none" strike="noStrike" baseline="0">
            <a:solidFill>
              <a:srgbClr val="333333"/>
            </a:solidFill>
            <a:latin typeface="Calibri"/>
          </a:endParaRPr>
        </a:p>
        <a:p>
          <a:pPr algn="l" rtl="0">
            <a:defRPr sz="1000"/>
          </a:pPr>
          <a:r>
            <a:rPr lang="nb-NO" sz="900" b="1" i="0" u="sng" strike="noStrike" baseline="0">
              <a:solidFill>
                <a:srgbClr val="333333"/>
              </a:solidFill>
              <a:latin typeface="Calibri"/>
            </a:rPr>
            <a:t>Kommentar til bruttofortjenester:</a:t>
          </a:r>
          <a:endParaRPr lang="nb-NO" sz="900" b="0" i="0" u="sng" strike="noStrike" baseline="0">
            <a:solidFill>
              <a:srgbClr val="333333"/>
            </a:solidFill>
            <a:latin typeface="Calibri"/>
          </a:endParaRPr>
        </a:p>
        <a:p>
          <a:pPr algn="l" rtl="0">
            <a:defRPr sz="1000"/>
          </a:pPr>
          <a:r>
            <a:rPr lang="nb-NO" sz="900" b="0" i="0" u="none" strike="noStrike" baseline="0">
              <a:solidFill>
                <a:srgbClr val="333333"/>
              </a:solidFill>
              <a:latin typeface="Calibri"/>
            </a:rPr>
            <a:t>Full varetelling er gjennomført denne mnd. Det er mottatt telilng i excel og pdf som vi har lagt sammen.  Tellingen denne mnd har gitt en nedjustering på varelageret  med 32'. Du oppnår en brf på 50,2% som er 2,1% høyere enn hva som ble oppnådd ved varetelling 31/12-21.</a:t>
          </a:r>
        </a:p>
        <a:p>
          <a:pPr algn="l" rtl="0">
            <a:defRPr sz="1000"/>
          </a:pPr>
          <a:endParaRPr lang="nb-NO" sz="900" b="0" i="0" u="none" strike="noStrike" baseline="0">
            <a:solidFill>
              <a:srgbClr val="333333"/>
            </a:solidFill>
            <a:latin typeface="Calibri"/>
          </a:endParaRPr>
        </a:p>
        <a:p>
          <a:pPr algn="l" rtl="0">
            <a:defRPr sz="1000"/>
          </a:pPr>
          <a:endParaRPr lang="nb-NO" sz="900" b="0" i="0" u="none" strike="noStrike" baseline="0">
            <a:solidFill>
              <a:srgbClr val="333333"/>
            </a:solidFill>
            <a:latin typeface="Calibri"/>
          </a:endParaRPr>
        </a:p>
        <a:p>
          <a:pPr algn="l" rtl="0">
            <a:defRPr sz="1000"/>
          </a:pPr>
          <a:r>
            <a:rPr lang="nb-NO" sz="900" b="1" i="0" u="sng" strike="noStrike" baseline="0">
              <a:solidFill>
                <a:srgbClr val="333333"/>
              </a:solidFill>
              <a:latin typeface="Calibri"/>
            </a:rPr>
            <a:t>Kommentar til avvikende kostnader mot budsjett:</a:t>
          </a:r>
          <a:endParaRPr lang="nb-NO" sz="900" b="0" i="0" u="sng" strike="noStrike" baseline="0">
            <a:solidFill>
              <a:srgbClr val="333333"/>
            </a:solidFill>
            <a:latin typeface="Calibri"/>
          </a:endParaRPr>
        </a:p>
        <a:p>
          <a:pPr algn="l" rtl="0">
            <a:defRPr sz="1000"/>
          </a:pPr>
          <a:r>
            <a:rPr lang="nb-NO" sz="900" b="0" i="0" u="none" strike="noStrike" baseline="0">
              <a:solidFill>
                <a:srgbClr val="333333"/>
              </a:solidFill>
              <a:latin typeface="Calibri"/>
            </a:rPr>
            <a:t>Litt økning av personalkostnad denne mnd som skyldes innkjøp av julegaver til ansatte.</a:t>
          </a:r>
        </a:p>
        <a:p>
          <a:pPr algn="l" rtl="0">
            <a:defRPr sz="1000"/>
          </a:pPr>
          <a:endParaRPr lang="nb-NO" sz="900" b="0" i="0" u="none" strike="noStrike" baseline="0">
            <a:solidFill>
              <a:srgbClr val="333333"/>
            </a:solidFill>
            <a:latin typeface="Calibri"/>
          </a:endParaRPr>
        </a:p>
        <a:p>
          <a:pPr algn="l" rtl="0">
            <a:defRPr sz="1000"/>
          </a:pPr>
          <a:r>
            <a:rPr lang="nb-NO" sz="900" b="0" i="0" u="none" strike="noStrike" baseline="0">
              <a:solidFill>
                <a:srgbClr val="333333"/>
              </a:solidFill>
              <a:latin typeface="Calibri"/>
            </a:rPr>
            <a:t>Ser ut  at vi mangler kostnad på strøm for november ( se kostnadsfane for strøm og energi). Ingen purring er mottatt per idag, noe som er rart. Per idag så ligger strømkostnadene 352' over hva du hadde som kost i fjor.</a:t>
          </a:r>
        </a:p>
        <a:p>
          <a:pPr algn="l" rtl="0">
            <a:defRPr sz="1000"/>
          </a:pPr>
          <a:endParaRPr lang="nb-NO" sz="900" b="0" i="0" u="none" strike="noStrike" baseline="0">
            <a:solidFill>
              <a:srgbClr val="333333"/>
            </a:solidFill>
            <a:latin typeface="Calibri"/>
          </a:endParaRPr>
        </a:p>
      </xdr:txBody>
    </xdr:sp>
    <xdr:clientData/>
  </xdr:twoCellAnchor>
  <xdr:twoCellAnchor>
    <xdr:from>
      <xdr:col>22</xdr:col>
      <xdr:colOff>257175</xdr:colOff>
      <xdr:row>54</xdr:row>
      <xdr:rowOff>95250</xdr:rowOff>
    </xdr:from>
    <xdr:to>
      <xdr:col>31</xdr:col>
      <xdr:colOff>57150</xdr:colOff>
      <xdr:row>92</xdr:row>
      <xdr:rowOff>38100</xdr:rowOff>
    </xdr:to>
    <xdr:sp macro="" textlink="">
      <xdr:nvSpPr>
        <xdr:cNvPr id="4" name="ReportComments"/>
        <xdr:cNvSpPr txBox="1">
          <a:spLocks noChangeArrowheads="1"/>
        </xdr:cNvSpPr>
      </xdr:nvSpPr>
      <xdr:spPr bwMode="auto">
        <a:xfrm>
          <a:off x="10810875" y="7953375"/>
          <a:ext cx="7067550" cy="5372100"/>
        </a:xfrm>
        <a:prstGeom prst="rect">
          <a:avLst/>
        </a:prstGeom>
        <a:solidFill>
          <a:srgbClr val="FFFFFF"/>
        </a:solidFill>
        <a:ln w="9525">
          <a:solidFill>
            <a:srgbClr val="DEDECE"/>
          </a:solidFill>
          <a:miter lim="800000"/>
          <a:headEnd type="none"/>
          <a:tailEnd type="none"/>
        </a:ln>
      </xdr:spPr>
      <xdr:txBody>
        <a:bodyPr vertOverflow="clip" wrap="square" lIns="54000" tIns="54000" rIns="54000" bIns="54000" anchor="t" upright="1"/>
        <a:lstStyle/>
        <a:p>
          <a:pPr algn="l" rtl="0">
            <a:defRPr sz="1000"/>
          </a:pPr>
          <a:r>
            <a:rPr lang="nb-NO" sz="900" b="1" i="0" u="none" strike="noStrike" baseline="0">
              <a:solidFill>
                <a:srgbClr val="000000"/>
              </a:solidFill>
              <a:latin typeface="Calibri"/>
            </a:rPr>
            <a:t>Aksjonspunkter Retailer - Regionssjef</a:t>
          </a:r>
          <a:endParaRPr lang="nb-NO" sz="9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nb-NO" sz="900" b="1" i="0" u="sng" strike="noStrike" baseline="0">
            <a:solidFill>
              <a:srgbClr val="333333"/>
            </a:solidFill>
            <a:latin typeface="Calibri"/>
          </a:endParaRPr>
        </a:p>
        <a:p>
          <a:pPr algn="l" rtl="0">
            <a:defRPr sz="1000"/>
          </a:pPr>
          <a:r>
            <a:rPr lang="nb-NO" sz="900" b="1" i="0" u="sng" strike="noStrike" baseline="0">
              <a:solidFill>
                <a:srgbClr val="333333"/>
              </a:solidFill>
              <a:latin typeface="Calibri"/>
            </a:rPr>
            <a:t>Aksjonspunkt 1</a:t>
          </a:r>
          <a:endParaRPr lang="nb-NO" sz="900" b="0" i="0" u="sng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nb-NO" sz="900" b="0" i="0" u="none" strike="noStrike" baseline="0">
            <a:solidFill>
              <a:srgbClr val="333333"/>
            </a:solidFill>
            <a:latin typeface="Calibri"/>
          </a:endParaRPr>
        </a:p>
        <a:p>
          <a:pPr algn="l" rtl="0">
            <a:defRPr sz="1000"/>
          </a:pPr>
          <a:endParaRPr lang="nb-NO" sz="900" b="0" i="0" u="none" strike="noStrike" baseline="0">
            <a:solidFill>
              <a:srgbClr val="333333"/>
            </a:solidFill>
            <a:latin typeface="Calibri"/>
          </a:endParaRPr>
        </a:p>
        <a:p>
          <a:pPr algn="l" rtl="0">
            <a:defRPr sz="1000"/>
          </a:pPr>
          <a:endParaRPr lang="nb-NO" sz="900" b="0" i="0" u="none" strike="noStrike" baseline="0">
            <a:solidFill>
              <a:srgbClr val="333333"/>
            </a:solidFill>
            <a:latin typeface="Calibri"/>
          </a:endParaRPr>
        </a:p>
        <a:p>
          <a:pPr algn="l" rtl="0">
            <a:defRPr sz="1000"/>
          </a:pPr>
          <a:r>
            <a:rPr lang="nb-NO" sz="900" b="1" i="0" u="sng" strike="noStrike" baseline="0">
              <a:solidFill>
                <a:srgbClr val="333333"/>
              </a:solidFill>
              <a:latin typeface="Calibri"/>
            </a:rPr>
            <a:t>Aksjonspunkt 2</a:t>
          </a:r>
          <a:endParaRPr lang="nb-NO" sz="900" b="0" i="0" u="sng" strike="noStrike" baseline="0">
            <a:solidFill>
              <a:srgbClr val="333333"/>
            </a:solidFill>
            <a:latin typeface="Calibri"/>
          </a:endParaRPr>
        </a:p>
        <a:p>
          <a:pPr algn="l" rtl="0">
            <a:defRPr sz="1000"/>
          </a:pPr>
          <a:endParaRPr lang="nb-NO" sz="900" b="0" i="0" u="none" strike="noStrike" baseline="0">
            <a:solidFill>
              <a:srgbClr val="333333"/>
            </a:solidFill>
            <a:latin typeface="Calibri"/>
          </a:endParaRPr>
        </a:p>
        <a:p>
          <a:pPr algn="l" rtl="0">
            <a:defRPr sz="1000"/>
          </a:pPr>
          <a:endParaRPr lang="nb-NO" sz="900" b="0" i="0" u="none" strike="noStrike" baseline="0">
            <a:solidFill>
              <a:srgbClr val="333333"/>
            </a:solidFill>
            <a:latin typeface="Calibri"/>
          </a:endParaRPr>
        </a:p>
        <a:p>
          <a:pPr algn="l" rtl="0">
            <a:defRPr sz="1000"/>
          </a:pPr>
          <a:endParaRPr lang="nb-NO" sz="900" b="0" i="0" u="none" strike="noStrike" baseline="0">
            <a:solidFill>
              <a:srgbClr val="333333"/>
            </a:solidFill>
            <a:latin typeface="Calibri"/>
          </a:endParaRPr>
        </a:p>
        <a:p>
          <a:pPr algn="l" rtl="0">
            <a:defRPr sz="1000"/>
          </a:pPr>
          <a:r>
            <a:rPr lang="nb-NO" sz="900" b="1" i="0" u="sng" strike="noStrike" baseline="0">
              <a:solidFill>
                <a:srgbClr val="333333"/>
              </a:solidFill>
              <a:latin typeface="Calibri"/>
            </a:rPr>
            <a:t>Aksjonspunkt 3</a:t>
          </a:r>
        </a:p>
        <a:p>
          <a:pPr algn="l" rtl="0">
            <a:defRPr sz="1000"/>
          </a:pPr>
          <a:endParaRPr lang="nb-NO" sz="900" b="0" i="0" u="none" strike="noStrike" baseline="0">
            <a:solidFill>
              <a:srgbClr val="333333"/>
            </a:solidFill>
            <a:latin typeface="Calibri"/>
          </a:endParaRPr>
        </a:p>
        <a:p>
          <a:pPr algn="l" rtl="0">
            <a:defRPr sz="1000"/>
          </a:pPr>
          <a:endParaRPr lang="nb-NO" sz="900" b="0" i="0" u="none" strike="noStrike" baseline="0">
            <a:solidFill>
              <a:srgbClr val="333333"/>
            </a:solidFill>
            <a:latin typeface="Calibri"/>
          </a:endParaRPr>
        </a:p>
        <a:p>
          <a:pPr algn="l" rtl="0">
            <a:defRPr sz="1000"/>
          </a:pPr>
          <a:endParaRPr lang="nb-NO" sz="900" b="0" i="0" u="none" strike="noStrike" baseline="0">
            <a:solidFill>
              <a:srgbClr val="333333"/>
            </a:solidFill>
            <a:latin typeface="Calibri"/>
          </a:endParaRPr>
        </a:p>
        <a:p>
          <a:pPr algn="l" rtl="0">
            <a:defRPr sz="1000"/>
          </a:pPr>
          <a:r>
            <a:rPr lang="nb-NO" sz="900" b="1" i="0" u="sng" strike="noStrike" baseline="0">
              <a:solidFill>
                <a:srgbClr val="333333"/>
              </a:solidFill>
              <a:latin typeface="Calibri"/>
            </a:rPr>
            <a:t>Aksjonspunkt 4</a:t>
          </a:r>
          <a:endParaRPr lang="nb-NO" sz="900" b="0" i="0" u="sng" strike="noStrike" baseline="0">
            <a:solidFill>
              <a:srgbClr val="333333"/>
            </a:solidFill>
            <a:latin typeface="Calibri"/>
          </a:endParaRPr>
        </a:p>
        <a:p>
          <a:pPr algn="l" rtl="0">
            <a:defRPr sz="1000"/>
          </a:pPr>
          <a:endParaRPr lang="nb-NO" sz="900" b="0" i="0" u="none" strike="noStrike" baseline="0">
            <a:solidFill>
              <a:srgbClr val="333333"/>
            </a:solidFill>
            <a:latin typeface="Calibri"/>
          </a:endParaRPr>
        </a:p>
        <a:p>
          <a:pPr algn="l" rtl="0">
            <a:defRPr sz="1000"/>
          </a:pPr>
          <a:endParaRPr lang="nb-NO" sz="900" b="0" i="0" u="none" strike="noStrike" baseline="0">
            <a:solidFill>
              <a:srgbClr val="333333"/>
            </a:solidFill>
            <a:latin typeface="Calibri"/>
          </a:endParaRPr>
        </a:p>
        <a:p>
          <a:pPr algn="l" rtl="0">
            <a:defRPr sz="1000"/>
          </a:pPr>
          <a:endParaRPr lang="nb-NO" sz="900" b="0" i="0" u="none" strike="noStrike" baseline="0">
            <a:solidFill>
              <a:srgbClr val="333333"/>
            </a:solidFill>
            <a:latin typeface="Calibri"/>
          </a:endParaRPr>
        </a:p>
        <a:p>
          <a:pPr algn="l" rtl="0">
            <a:defRPr sz="1000"/>
          </a:pPr>
          <a:r>
            <a:rPr lang="nb-NO" sz="900" b="1" i="0" u="sng" strike="noStrike" baseline="0">
              <a:solidFill>
                <a:srgbClr val="333333"/>
              </a:solidFill>
              <a:latin typeface="Calibri"/>
            </a:rPr>
            <a:t>Aksjonspunkt 5</a:t>
          </a:r>
          <a:endParaRPr lang="nb-NO" sz="900" b="0" i="0" u="sng" strike="noStrike" baseline="0">
            <a:solidFill>
              <a:srgbClr val="333333"/>
            </a:solidFill>
            <a:latin typeface="Calibri"/>
          </a:endParaRPr>
        </a:p>
        <a:p>
          <a:pPr algn="l" rtl="0">
            <a:defRPr sz="1000"/>
          </a:pPr>
          <a:endParaRPr lang="nb-NO" sz="900" b="0" i="0" u="none" strike="noStrike" baseline="0">
            <a:solidFill>
              <a:srgbClr val="333333"/>
            </a:solidFill>
            <a:latin typeface="Calibri"/>
          </a:endParaRPr>
        </a:p>
        <a:p>
          <a:pPr algn="l" rtl="0">
            <a:defRPr sz="1000"/>
          </a:pPr>
          <a:endParaRPr lang="nb-NO" sz="900" b="0" i="0" u="none" strike="noStrike" baseline="0">
            <a:solidFill>
              <a:srgbClr val="333333"/>
            </a:solidFill>
            <a:latin typeface="Calibri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571500</xdr:colOff>
      <xdr:row>0</xdr:row>
      <xdr:rowOff>57150</xdr:rowOff>
    </xdr:from>
    <xdr:to>
      <xdr:col>10</xdr:col>
      <xdr:colOff>152400</xdr:colOff>
      <xdr:row>2</xdr:row>
      <xdr:rowOff>76200</xdr:rowOff>
    </xdr:to>
    <xdr:pic>
      <xdr:nvPicPr>
        <xdr:cNvPr id="1548" name="mainTop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67625" y="57150"/>
          <a:ext cx="1076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2" Type="http://schemas.microsoft.com/office/2006/relationships/xlExternalLinkPath/xlPathMissing" Target="Shell%20RBA%20regnskapsrapport%207.091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dun Wiig" refreshedDate="44956.553366203705" createdVersion="1" refreshedVersion="6" recordCount="1774">
  <cacheSource type="worksheet">
    <worksheetSource ref="A1:J1775" sheet="Data" r:id="rId2"/>
  </cacheSource>
  <cacheFields count="10">
    <cacheField name="Butikk" numFmtId="0">
      <sharedItems containsBlank="1" count="2">
        <m/>
        <s v="4169 Kopervik Bensin og Storkiosk AS"/>
      </sharedItems>
    </cacheField>
    <cacheField name="Rapportlinje" numFmtId="0">
      <sharedItems count="31">
        <s v="501 Faste lønninger"/>
        <s v="741 Diverse"/>
        <s v="508 Påløpte feriepenger"/>
        <s v="540 Arb.avg av lønn"/>
        <s v="541 Arb.avg av feriep."/>
        <s v="590 Andre personal"/>
        <s v="621 Leie"/>
        <s v="625 Annen husleie"/>
        <s v="626 Energi &amp; vannavg."/>
        <s v="627 Renhold-renovasj"/>
        <s v="628 Leie driftsmidler"/>
        <s v="630 Utstyr &amp; verktøy"/>
        <s v="631 Forbruksmateriell"/>
        <s v="632 Rep &amp; vedlikehold"/>
        <s v="633 Data &amp; kortsystem"/>
        <s v="635 Fremmedtj &amp; vakth"/>
        <s v="636 Kontorrekvisita"/>
        <s v="637 Telefon"/>
        <s v="738 Bilutgifter"/>
        <s v="739 Reise-møter-kurs"/>
        <s v="740 Reklame"/>
        <s v="742 Forsikringer"/>
        <s v="743 Erstatn - tyveri"/>
        <s v="744 Kassedifferanse"/>
        <s v="771 Bank &amp; kortprov"/>
        <s v="772 CRT kortgebyr"/>
        <s v="780 Ekstraord tap/gev."/>
        <s v="790 Avskrivninger"/>
        <s v="800 Fin. inntekter"/>
        <s v="810 Fin. utgifter"/>
        <s v="840 Ikke driftsrelat. innt/kostn"/>
      </sharedItems>
    </cacheField>
    <cacheField name="Konto" numFmtId="0">
      <sharedItems count="69">
        <s v="5010 Lønn Faste"/>
        <s v="7771 Øreavrunding"/>
        <s v="5090 Feriepenger"/>
        <s v="5400 Arbeidsgiveravgift"/>
        <s v="5401 Arbeidsgiveravgift avsatte feriepenger"/>
        <s v="5252 OTP Arb.avg. pliktig"/>
        <s v="5290 Motpost fordel"/>
        <s v="5910 Andre personalkostnader"/>
        <s v="5932 Arbeidstøy innkjøp"/>
        <s v="5940 Gaver ansatte"/>
        <s v="5946 OTP tjenestepensjon"/>
        <s v="6310 Stasjonsvederlag stasjon fast"/>
        <s v="6316 Leie lokaler"/>
        <s v="6250 Strøm &amp; energi"/>
        <s v="6260 Vann &amp; komm. Avgifter"/>
        <s v="6270 Renhold"/>
        <s v="6275 Renovasjon"/>
        <s v="6650 Snøbrøyting &amp; gressklipping"/>
        <s v="6420 Leasing vaskemaskin"/>
        <s v="6510 Småanskaffelser inventar"/>
        <s v="6520 Småanskaffelser verktøy servicehall"/>
        <s v="6570 Driftsmatriell stasjon"/>
        <s v="7330 Emballasje &amp; Bæreposer"/>
        <s v="6601 Vedlikehold hall &amp; selvvask"/>
        <s v="6610 Vedlikehold maskiner, utstyr, pumper, ka"/>
        <s v="6612 Vedlikehold &quot; varmmatkonsept&quot;"/>
        <s v="6640 Vedlikehold &amp; rep annet"/>
        <s v="6710 Data og lisenskostnad"/>
        <s v="6720 Regnskapshonorar"/>
        <s v="6730 Vakttjenester"/>
        <s v="6740 Revisjonshonorar"/>
        <s v="6750 Andre honorarer"/>
        <s v="6810 Kontorrekvisita"/>
        <s v="6860 Avis &amp; tidskrift"/>
        <s v="6940 Porto"/>
        <s v="6900 Telefon - ny"/>
        <s v="7000 Drivstoff, personbil"/>
        <s v="7001 Drivstoff, varebil"/>
        <s v="7020 Rep. og vedlikehold personbil"/>
        <s v="7050 Annen bilkostnad personbil"/>
        <s v="7140 Reisekostnad, ikke opplysningspliktig, ikke trekkpliktig"/>
        <s v="7142 Møtekostnader (interne/eksterne)"/>
        <s v="7190 Billetter"/>
        <s v="7192 Reisekostnad,lav sats mva, ikke opplysningspliktig, ikke trekkpliktig"/>
        <s v="7309 Reklamekostnad"/>
        <s v="7310 Reklamekostnad u/mva"/>
        <s v="6110 Frakt, toll, spedisjon"/>
        <s v="6290 Andre kostnader vedr. lokaler"/>
        <s v="7410 Kontingent fradragsberettiget"/>
        <s v="7420 Kontingent ikke fradragsberettiget"/>
        <s v="7790 Andre kostnader"/>
        <s v="7799 Øredifferanser"/>
        <s v="7510 Forsikringspremier"/>
        <s v="7512 Periodisering Forsikringspremier"/>
        <s v="7520 Forsikringspremier annet"/>
        <s v="7800 Avstikk fra pumpe, høy sats"/>
        <s v="7793 Kassedifferanse"/>
        <s v="7770 Bankomkostninger"/>
        <s v="7780 Gebyr andre"/>
        <s v="7785 CRT Kortgebyr"/>
        <s v="7794 Purregebyr og inkassokostnader"/>
        <s v="7795 Gebyr TGTG"/>
        <s v="6001 Avskrivning bygningsmessig anlegg"/>
        <s v="6010 Avskrivning inventar og utstyr"/>
        <s v="8050 Renteinntekter skattefrie"/>
        <s v="8075 Renteinntekter bank"/>
        <s v="8130 Renteutgifter leverandør"/>
        <s v="3750 Andre inntekter høy sats"/>
        <s v="3751 Andre inntekter middels sats"/>
      </sharedItems>
    </cacheField>
    <cacheField name="Periode" numFmtId="0">
      <sharedItems containsSemiMixedTypes="0" containsString="0" containsNumber="1" containsInteger="1" minValue="202201" maxValue="202212" count="12">
        <n v="202205"/>
        <n v="202207"/>
        <n v="202206"/>
        <n v="202202"/>
        <n v="202204"/>
        <n v="202201"/>
        <n v="202212"/>
        <n v="202209"/>
        <n v="202208"/>
        <n v="202211"/>
        <n v="202210"/>
        <n v="202203"/>
      </sharedItems>
    </cacheField>
    <cacheField name="Bilagsdato" numFmtId="0">
      <sharedItems containsSemiMixedTypes="0" containsString="0" containsNumber="1" containsInteger="1" minValue="44305" maxValue="44926"/>
    </cacheField>
    <cacheField name="Bilagsnr" numFmtId="0">
      <sharedItems containsString="0" containsBlank="1" containsNumber="1" containsInteger="1" minValue="2236" maxValue="4000738"/>
    </cacheField>
    <cacheField name="Tekst" numFmtId="0">
      <sharedItems containsBlank="1"/>
    </cacheField>
    <cacheField name="Ekstratekst" numFmtId="0">
      <sharedItems containsBlank="1"/>
    </cacheField>
    <cacheField name="Beløp" numFmtId="0">
      <sharedItems containsSemiMixedTypes="0" containsString="0" containsNumber="1" minValue="-55600" maxValue="248696"/>
    </cacheField>
    <cacheField name="Mengde" numFmtId="0">
      <sharedItems containsSemiMixedTypes="0" containsString="0" containsNumber="1" minValue="-9" maxValue="2395.5" count="19">
        <n v="50"/>
        <n v="9"/>
        <n v="27"/>
        <n v="0"/>
        <n v="789"/>
        <n v="772"/>
        <n v="753.5"/>
        <n v="-2"/>
        <n v="924"/>
        <n v="886"/>
        <n v="794"/>
        <n v="-1"/>
        <n v="831"/>
        <n v="63.5"/>
        <n v="715.5"/>
        <n v="2395.5"/>
        <n v="-9"/>
        <n v="817"/>
        <n v="817.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74">
  <r>
    <x v="0"/>
    <x v="0"/>
    <x v="0"/>
    <x v="0"/>
    <n v="44706"/>
    <n v="500166"/>
    <s v="Lønn kjøring 5. Mai 2022 Lønn"/>
    <s v=" "/>
    <n v="7457.95"/>
    <x v="0"/>
  </r>
  <r>
    <x v="0"/>
    <x v="0"/>
    <x v="0"/>
    <x v="1"/>
    <n v="44767"/>
    <n v="500168"/>
    <s v="Lønn kjøring 7. Juli 2022 Lønn"/>
    <s v=" "/>
    <n v="1381.8"/>
    <x v="1"/>
  </r>
  <r>
    <x v="0"/>
    <x v="0"/>
    <x v="0"/>
    <x v="2"/>
    <n v="44736"/>
    <n v="500167"/>
    <s v="Lønn kjøring 6. Juni 2022 Lønn"/>
    <s v=" "/>
    <n v="4066.66"/>
    <x v="2"/>
  </r>
  <r>
    <x v="0"/>
    <x v="1"/>
    <x v="1"/>
    <x v="2"/>
    <n v="44742"/>
    <n v="700086"/>
    <s v="Avgiftsoppgave"/>
    <s v=" "/>
    <n v="-1.05"/>
    <x v="3"/>
  </r>
  <r>
    <x v="0"/>
    <x v="1"/>
    <x v="1"/>
    <x v="3"/>
    <n v="44620"/>
    <n v="700082"/>
    <s v="Avgiftsoppgave"/>
    <s v=" "/>
    <n v="-0.15"/>
    <x v="3"/>
  </r>
  <r>
    <x v="0"/>
    <x v="1"/>
    <x v="1"/>
    <x v="3"/>
    <n v="44620"/>
    <n v="700082"/>
    <s v="Avgiftsoppgave"/>
    <s v=" "/>
    <n v="0.15"/>
    <x v="3"/>
  </r>
  <r>
    <x v="0"/>
    <x v="1"/>
    <x v="1"/>
    <x v="3"/>
    <n v="44620"/>
    <n v="700084"/>
    <s v="Avgiftsoppgave"/>
    <s v=" "/>
    <n v="-0.68"/>
    <x v="3"/>
  </r>
  <r>
    <x v="0"/>
    <x v="1"/>
    <x v="1"/>
    <x v="4"/>
    <n v="44681"/>
    <n v="700085"/>
    <s v="Avgiftsoppgave"/>
    <s v=" "/>
    <n v="0.57999999999999996"/>
    <x v="3"/>
  </r>
  <r>
    <x v="1"/>
    <x v="0"/>
    <x v="0"/>
    <x v="0"/>
    <n v="44706"/>
    <n v="500166"/>
    <s v="Lønn kjøring 5. Mai 2022 Lønn"/>
    <s v=" "/>
    <n v="210062.5"/>
    <x v="4"/>
  </r>
  <r>
    <x v="1"/>
    <x v="0"/>
    <x v="0"/>
    <x v="3"/>
    <n v="44617"/>
    <n v="500163"/>
    <s v="Lønn kjøring 2. Februar 2022 Lønn"/>
    <s v=" "/>
    <n v="198703.5"/>
    <x v="5"/>
  </r>
  <r>
    <x v="1"/>
    <x v="0"/>
    <x v="0"/>
    <x v="5"/>
    <n v="44586"/>
    <n v="500162"/>
    <s v="Lønn kjøring 1. Januar 2022 Lønn"/>
    <s v=" "/>
    <n v="204662"/>
    <x v="6"/>
  </r>
  <r>
    <x v="1"/>
    <x v="0"/>
    <x v="0"/>
    <x v="5"/>
    <n v="44586"/>
    <n v="500162"/>
    <s v="Lønn kjøring 1. Januar 2022 Lønn"/>
    <s v=" "/>
    <n v="-3384.6"/>
    <x v="7"/>
  </r>
  <r>
    <x v="1"/>
    <x v="0"/>
    <x v="0"/>
    <x v="6"/>
    <n v="44918"/>
    <n v="500173"/>
    <s v="Lønn kjøring 12. Desember 2022 Lønn"/>
    <s v=" "/>
    <n v="229169"/>
    <x v="8"/>
  </r>
  <r>
    <x v="1"/>
    <x v="0"/>
    <x v="0"/>
    <x v="2"/>
    <n v="44736"/>
    <n v="500167"/>
    <s v="Lønn kjøring 6. Juni 2022 Lønn"/>
    <s v=" "/>
    <n v="231552"/>
    <x v="9"/>
  </r>
  <r>
    <x v="1"/>
    <x v="0"/>
    <x v="0"/>
    <x v="2"/>
    <n v="44736"/>
    <n v="500167"/>
    <s v="Lønn kjøring 6. Juni 2022 Lønn"/>
    <s v=" "/>
    <n v="-3384.62"/>
    <x v="7"/>
  </r>
  <r>
    <x v="1"/>
    <x v="0"/>
    <x v="0"/>
    <x v="1"/>
    <n v="44767"/>
    <n v="500168"/>
    <s v="Lønn kjøring 7. Juli 2022 Lønn"/>
    <s v=" "/>
    <n v="195634"/>
    <x v="10"/>
  </r>
  <r>
    <x v="1"/>
    <x v="0"/>
    <x v="0"/>
    <x v="1"/>
    <n v="44767"/>
    <n v="500168"/>
    <s v="Lønn kjøring 7. Juli 2022 Lønn"/>
    <s v=" "/>
    <n v="-1692.31"/>
    <x v="11"/>
  </r>
  <r>
    <x v="1"/>
    <x v="0"/>
    <x v="0"/>
    <x v="7"/>
    <n v="44827"/>
    <n v="500170"/>
    <s v="Lønn kjøring 9. September 2022 Lønn"/>
    <s v=" "/>
    <n v="205527"/>
    <x v="12"/>
  </r>
  <r>
    <x v="1"/>
    <x v="0"/>
    <x v="0"/>
    <x v="7"/>
    <n v="44827"/>
    <n v="500170"/>
    <s v="Lønn kjøring 9. September 2022 Lønn"/>
    <s v=" "/>
    <n v="-3384.62"/>
    <x v="7"/>
  </r>
  <r>
    <x v="1"/>
    <x v="0"/>
    <x v="0"/>
    <x v="8"/>
    <n v="44798"/>
    <n v="500169"/>
    <s v="Lønn kjøring 8. August 2022 Lønn"/>
    <s v=" "/>
    <n v="9614.2900000000009"/>
    <x v="13"/>
  </r>
  <r>
    <x v="1"/>
    <x v="0"/>
    <x v="0"/>
    <x v="8"/>
    <n v="44798"/>
    <n v="500169"/>
    <s v="Lønn kjøring 8. August 2022 Lønn"/>
    <s v=" "/>
    <n v="179970"/>
    <x v="14"/>
  </r>
  <r>
    <x v="1"/>
    <x v="0"/>
    <x v="0"/>
    <x v="9"/>
    <n v="44890"/>
    <n v="500172"/>
    <s v="Lønn kjøring 11. November 2022 Lønn"/>
    <s v=" "/>
    <n v="248696"/>
    <x v="15"/>
  </r>
  <r>
    <x v="1"/>
    <x v="0"/>
    <x v="0"/>
    <x v="9"/>
    <n v="44890"/>
    <n v="500172"/>
    <s v="Lønn kjøring 11. November 2022 Lønn"/>
    <s v=" "/>
    <n v="-18274.05"/>
    <x v="16"/>
  </r>
  <r>
    <x v="1"/>
    <x v="0"/>
    <x v="0"/>
    <x v="10"/>
    <n v="44859"/>
    <n v="500171"/>
    <s v="Lønn kjøring 10. Oktober 2022 Lønn"/>
    <s v=" "/>
    <n v="202192"/>
    <x v="17"/>
  </r>
  <r>
    <x v="1"/>
    <x v="0"/>
    <x v="0"/>
    <x v="10"/>
    <n v="44859"/>
    <n v="500171"/>
    <s v="Lønn kjøring 10. Oktober 2022 Lønn"/>
    <s v=" "/>
    <n v="-4060.9"/>
    <x v="7"/>
  </r>
  <r>
    <x v="1"/>
    <x v="0"/>
    <x v="0"/>
    <x v="4"/>
    <n v="44676"/>
    <n v="500165"/>
    <s v="Lønn kjøring 4. April 2022 Lønn"/>
    <s v=" "/>
    <n v="221079.5"/>
    <x v="18"/>
  </r>
  <r>
    <x v="1"/>
    <x v="0"/>
    <x v="0"/>
    <x v="11"/>
    <n v="44645"/>
    <n v="500164"/>
    <s v="Lønn kjøring 3. Mars 2022 Lønn"/>
    <s v=" "/>
    <n v="186308"/>
    <x v="14"/>
  </r>
  <r>
    <x v="1"/>
    <x v="0"/>
    <x v="0"/>
    <x v="11"/>
    <n v="44645"/>
    <n v="500164"/>
    <s v="Lønn kjøring 3. Mars 2022 Lønn"/>
    <s v=" "/>
    <n v="-1692.31"/>
    <x v="11"/>
  </r>
  <r>
    <x v="1"/>
    <x v="2"/>
    <x v="2"/>
    <x v="9"/>
    <n v="44890"/>
    <n v="500172"/>
    <s v="Lønn kjøring 11. November 2022 Lønn"/>
    <s v=" "/>
    <n v="29843.52"/>
    <x v="3"/>
  </r>
  <r>
    <x v="1"/>
    <x v="2"/>
    <x v="2"/>
    <x v="9"/>
    <n v="44890"/>
    <n v="500172"/>
    <s v="Lønn kjøring 11. November 2022 Lønn"/>
    <s v=" "/>
    <n v="-2192.89"/>
    <x v="3"/>
  </r>
  <r>
    <x v="1"/>
    <x v="2"/>
    <x v="2"/>
    <x v="6"/>
    <n v="44918"/>
    <n v="500173"/>
    <s v="Lønn kjøring 12. Desember 2022 Lønn"/>
    <s v=" "/>
    <n v="27500.28"/>
    <x v="3"/>
  </r>
  <r>
    <x v="1"/>
    <x v="2"/>
    <x v="2"/>
    <x v="1"/>
    <n v="44767"/>
    <n v="500168"/>
    <s v="Lønn kjøring 7. Juli 2022 Lønn"/>
    <s v=" "/>
    <n v="165.82"/>
    <x v="3"/>
  </r>
  <r>
    <x v="1"/>
    <x v="2"/>
    <x v="2"/>
    <x v="1"/>
    <n v="44767"/>
    <n v="500168"/>
    <s v="Lønn kjøring 7. Juli 2022 Lønn"/>
    <s v=" "/>
    <n v="23476.080000000002"/>
    <x v="3"/>
  </r>
  <r>
    <x v="1"/>
    <x v="2"/>
    <x v="2"/>
    <x v="1"/>
    <n v="44767"/>
    <n v="500168"/>
    <s v="Lønn kjøring 7. Juli 2022 Lønn"/>
    <s v=" "/>
    <n v="-203.08"/>
    <x v="3"/>
  </r>
  <r>
    <x v="1"/>
    <x v="2"/>
    <x v="2"/>
    <x v="7"/>
    <n v="44827"/>
    <n v="500170"/>
    <s v="Lønn kjøring 9. September 2022 Lønn"/>
    <s v=" "/>
    <n v="24663.24"/>
    <x v="3"/>
  </r>
  <r>
    <x v="1"/>
    <x v="2"/>
    <x v="2"/>
    <x v="7"/>
    <n v="44827"/>
    <n v="500170"/>
    <s v="Lønn kjøring 9. September 2022 Lønn"/>
    <s v=" "/>
    <n v="-406.15"/>
    <x v="3"/>
  </r>
  <r>
    <x v="1"/>
    <x v="2"/>
    <x v="2"/>
    <x v="8"/>
    <n v="44798"/>
    <n v="500169"/>
    <s v="Lønn kjøring 8. August 2022 Lønn"/>
    <s v=" "/>
    <n v="1153.71"/>
    <x v="3"/>
  </r>
  <r>
    <x v="1"/>
    <x v="2"/>
    <x v="2"/>
    <x v="8"/>
    <n v="44798"/>
    <n v="500169"/>
    <s v="Lønn kjøring 8. August 2022 Lønn"/>
    <s v=" "/>
    <n v="21596.400000000001"/>
    <x v="3"/>
  </r>
  <r>
    <x v="1"/>
    <x v="2"/>
    <x v="2"/>
    <x v="3"/>
    <n v="44617"/>
    <n v="500163"/>
    <s v="Lønn kjøring 2. Februar 2022 Lønn"/>
    <s v=" "/>
    <n v="23844.42"/>
    <x v="3"/>
  </r>
  <r>
    <x v="1"/>
    <x v="2"/>
    <x v="2"/>
    <x v="5"/>
    <n v="44586"/>
    <n v="500162"/>
    <s v="Lønn kjøring 1. Januar 2022 Lønn"/>
    <s v=" "/>
    <n v="24559.439999999999"/>
    <x v="3"/>
  </r>
  <r>
    <x v="1"/>
    <x v="2"/>
    <x v="2"/>
    <x v="5"/>
    <n v="44586"/>
    <n v="500162"/>
    <s v="Lønn kjøring 1. Januar 2022 Lønn"/>
    <s v=" "/>
    <n v="-406.15"/>
    <x v="3"/>
  </r>
  <r>
    <x v="1"/>
    <x v="2"/>
    <x v="2"/>
    <x v="11"/>
    <n v="44645"/>
    <n v="500164"/>
    <s v="Lønn kjøring 3. Mars 2022 Lønn"/>
    <s v=" "/>
    <n v="22356.959999999999"/>
    <x v="3"/>
  </r>
  <r>
    <x v="1"/>
    <x v="2"/>
    <x v="2"/>
    <x v="11"/>
    <n v="44645"/>
    <n v="500164"/>
    <s v="Lønn kjøring 3. Mars 2022 Lønn"/>
    <s v=" "/>
    <n v="-203.08"/>
    <x v="3"/>
  </r>
  <r>
    <x v="1"/>
    <x v="2"/>
    <x v="2"/>
    <x v="4"/>
    <n v="44676"/>
    <n v="500165"/>
    <s v="Lønn kjøring 4. April 2022 Lønn"/>
    <s v=" "/>
    <n v="26529.54"/>
    <x v="3"/>
  </r>
  <r>
    <x v="1"/>
    <x v="2"/>
    <x v="2"/>
    <x v="2"/>
    <n v="44736"/>
    <n v="500167"/>
    <s v="Lønn kjøring 6. Juni 2022 Lønn"/>
    <s v=" "/>
    <n v="488"/>
    <x v="3"/>
  </r>
  <r>
    <x v="1"/>
    <x v="2"/>
    <x v="2"/>
    <x v="2"/>
    <n v="44736"/>
    <n v="500167"/>
    <s v="Lønn kjøring 6. Juni 2022 Lønn"/>
    <s v=" "/>
    <n v="27786.240000000002"/>
    <x v="3"/>
  </r>
  <r>
    <x v="1"/>
    <x v="2"/>
    <x v="2"/>
    <x v="2"/>
    <n v="44736"/>
    <n v="500167"/>
    <s v="Lønn kjøring 6. Juni 2022 Lønn"/>
    <s v=" "/>
    <n v="-406.15"/>
    <x v="3"/>
  </r>
  <r>
    <x v="1"/>
    <x v="2"/>
    <x v="2"/>
    <x v="0"/>
    <n v="44706"/>
    <n v="500166"/>
    <s v="Lønn kjøring 5. Mai 2022 Lønn"/>
    <s v=" "/>
    <n v="894.95"/>
    <x v="3"/>
  </r>
  <r>
    <x v="1"/>
    <x v="2"/>
    <x v="2"/>
    <x v="0"/>
    <n v="44706"/>
    <n v="500166"/>
    <s v="Lønn kjøring 5. Mai 2022 Lønn"/>
    <s v=" "/>
    <n v="25207.5"/>
    <x v="3"/>
  </r>
  <r>
    <x v="1"/>
    <x v="2"/>
    <x v="2"/>
    <x v="10"/>
    <n v="44859"/>
    <n v="500171"/>
    <s v="Lønn kjøring 10. Oktober 2022 Lønn"/>
    <s v=" "/>
    <n v="24263.040000000001"/>
    <x v="3"/>
  </r>
  <r>
    <x v="1"/>
    <x v="2"/>
    <x v="2"/>
    <x v="10"/>
    <n v="44859"/>
    <n v="500171"/>
    <s v="Lønn kjøring 10. Oktober 2022 Lønn"/>
    <s v=" "/>
    <n v="-487.31"/>
    <x v="3"/>
  </r>
  <r>
    <x v="1"/>
    <x v="3"/>
    <x v="3"/>
    <x v="4"/>
    <n v="44676"/>
    <n v="500165"/>
    <s v="Lønn kjøring 4. April 2022 Lønn"/>
    <s v=" "/>
    <n v="31575.64"/>
    <x v="3"/>
  </r>
  <r>
    <x v="1"/>
    <x v="3"/>
    <x v="3"/>
    <x v="11"/>
    <n v="44645"/>
    <n v="500164"/>
    <s v="Lønn kjøring 3. Mars 2022 Lønn"/>
    <s v=" "/>
    <n v="403.97"/>
    <x v="3"/>
  </r>
  <r>
    <x v="1"/>
    <x v="3"/>
    <x v="3"/>
    <x v="11"/>
    <n v="44645"/>
    <n v="500164"/>
    <s v="Lønn kjøring 3. Mars 2022 Lønn"/>
    <s v=" "/>
    <n v="26269.439999999999"/>
    <x v="3"/>
  </r>
  <r>
    <x v="1"/>
    <x v="3"/>
    <x v="3"/>
    <x v="11"/>
    <n v="44645"/>
    <n v="500164"/>
    <s v="Lønn kjøring 3. Mars 2022 Lønn"/>
    <s v=" "/>
    <n v="-238.62"/>
    <x v="3"/>
  </r>
  <r>
    <x v="1"/>
    <x v="3"/>
    <x v="3"/>
    <x v="9"/>
    <n v="44890"/>
    <n v="500172"/>
    <s v="Lønn kjøring 11. November 2022 Lønn"/>
    <s v=" "/>
    <n v="35587.58"/>
    <x v="3"/>
  </r>
  <r>
    <x v="1"/>
    <x v="3"/>
    <x v="3"/>
    <x v="9"/>
    <n v="44890"/>
    <n v="500172"/>
    <s v="Lønn kjøring 11. November 2022 Lønn"/>
    <s v=" "/>
    <n v="-2576.64"/>
    <x v="3"/>
  </r>
  <r>
    <x v="1"/>
    <x v="3"/>
    <x v="3"/>
    <x v="6"/>
    <n v="44918"/>
    <n v="500173"/>
    <s v="Lønn kjøring 12. Desember 2022 Lønn"/>
    <s v=" "/>
    <n v="32832.559999999998"/>
    <x v="3"/>
  </r>
  <r>
    <x v="1"/>
    <x v="3"/>
    <x v="3"/>
    <x v="2"/>
    <n v="44736"/>
    <n v="500167"/>
    <s v="Lønn kjøring 6. Juni 2022 Lønn"/>
    <s v=" "/>
    <n v="573.4"/>
    <x v="3"/>
  </r>
  <r>
    <x v="1"/>
    <x v="3"/>
    <x v="3"/>
    <x v="2"/>
    <n v="44736"/>
    <n v="500167"/>
    <s v="Lønn kjøring 6. Juni 2022 Lønn"/>
    <s v=" "/>
    <n v="33052.120000000003"/>
    <x v="3"/>
  </r>
  <r>
    <x v="1"/>
    <x v="3"/>
    <x v="3"/>
    <x v="2"/>
    <n v="44736"/>
    <n v="500167"/>
    <s v="Lønn kjøring 6. Juni 2022 Lønn"/>
    <s v=" "/>
    <n v="-477.23"/>
    <x v="3"/>
  </r>
  <r>
    <x v="1"/>
    <x v="3"/>
    <x v="3"/>
    <x v="0"/>
    <n v="44706"/>
    <n v="500166"/>
    <s v="Lønn kjøring 5. Mai 2022 Lønn"/>
    <s v=" "/>
    <n v="1051.57"/>
    <x v="3"/>
  </r>
  <r>
    <x v="1"/>
    <x v="3"/>
    <x v="3"/>
    <x v="0"/>
    <n v="44706"/>
    <n v="500166"/>
    <s v="Lønn kjøring 5. Mai 2022 Lønn"/>
    <s v=" "/>
    <n v="30021.82"/>
    <x v="3"/>
  </r>
  <r>
    <x v="1"/>
    <x v="3"/>
    <x v="3"/>
    <x v="1"/>
    <n v="44767"/>
    <n v="500168"/>
    <s v="Lønn kjøring 7. Juli 2022 Lønn"/>
    <s v=" "/>
    <n v="194.84"/>
    <x v="3"/>
  </r>
  <r>
    <x v="1"/>
    <x v="3"/>
    <x v="3"/>
    <x v="1"/>
    <n v="44767"/>
    <n v="500168"/>
    <s v="Lønn kjøring 7. Juli 2022 Lønn"/>
    <s v=" "/>
    <n v="27986.97"/>
    <x v="3"/>
  </r>
  <r>
    <x v="1"/>
    <x v="3"/>
    <x v="3"/>
    <x v="1"/>
    <n v="44767"/>
    <n v="500168"/>
    <s v="Lønn kjøring 7. Juli 2022 Lønn"/>
    <s v=" "/>
    <n v="-238.62"/>
    <x v="3"/>
  </r>
  <r>
    <x v="1"/>
    <x v="3"/>
    <x v="3"/>
    <x v="8"/>
    <n v="44798"/>
    <n v="500169"/>
    <s v="Lønn kjøring 8. August 2022 Lønn"/>
    <s v=" "/>
    <n v="1355.62"/>
    <x v="3"/>
  </r>
  <r>
    <x v="1"/>
    <x v="3"/>
    <x v="3"/>
    <x v="8"/>
    <n v="44798"/>
    <n v="500169"/>
    <s v="Lønn kjøring 8. August 2022 Lønn"/>
    <s v=" "/>
    <n v="25896.06"/>
    <x v="3"/>
  </r>
  <r>
    <x v="1"/>
    <x v="3"/>
    <x v="3"/>
    <x v="7"/>
    <n v="44827"/>
    <n v="500170"/>
    <s v="Lønn kjøring 9. September 2022 Lønn"/>
    <s v=" "/>
    <n v="29499.599999999999"/>
    <x v="3"/>
  </r>
  <r>
    <x v="1"/>
    <x v="3"/>
    <x v="3"/>
    <x v="7"/>
    <n v="44827"/>
    <n v="500170"/>
    <s v="Lønn kjøring 9. September 2022 Lønn"/>
    <s v=" "/>
    <n v="-477.23"/>
    <x v="3"/>
  </r>
  <r>
    <x v="1"/>
    <x v="3"/>
    <x v="3"/>
    <x v="3"/>
    <n v="44617"/>
    <n v="500163"/>
    <s v="Lønn kjøring 2. Februar 2022 Lønn"/>
    <s v=" "/>
    <n v="29542.82"/>
    <x v="3"/>
  </r>
  <r>
    <x v="1"/>
    <x v="3"/>
    <x v="3"/>
    <x v="5"/>
    <n v="44586"/>
    <n v="500162"/>
    <s v="Lønn kjøring 1. Januar 2022 Lønn"/>
    <s v=" "/>
    <n v="28857.35"/>
    <x v="3"/>
  </r>
  <r>
    <x v="1"/>
    <x v="3"/>
    <x v="3"/>
    <x v="5"/>
    <n v="44586"/>
    <n v="500162"/>
    <s v="Lønn kjøring 1. Januar 2022 Lønn"/>
    <s v=" "/>
    <n v="-477.23"/>
    <x v="3"/>
  </r>
  <r>
    <x v="1"/>
    <x v="3"/>
    <x v="3"/>
    <x v="10"/>
    <n v="44859"/>
    <n v="500171"/>
    <s v="Lønn kjøring 10. Oktober 2022 Lønn"/>
    <s v=" "/>
    <n v="29029.9"/>
    <x v="3"/>
  </r>
  <r>
    <x v="1"/>
    <x v="3"/>
    <x v="3"/>
    <x v="10"/>
    <n v="44859"/>
    <n v="500171"/>
    <s v="Lønn kjøring 10. Oktober 2022 Lønn"/>
    <s v=" "/>
    <n v="-572.59"/>
    <x v="3"/>
  </r>
  <r>
    <x v="1"/>
    <x v="4"/>
    <x v="4"/>
    <x v="9"/>
    <n v="44890"/>
    <n v="500172"/>
    <s v="Lønn kjøring 11. November 2022 Lønn"/>
    <s v=" "/>
    <n v="4207.95"/>
    <x v="3"/>
  </r>
  <r>
    <x v="1"/>
    <x v="4"/>
    <x v="4"/>
    <x v="9"/>
    <n v="44890"/>
    <n v="500172"/>
    <s v="Lønn kjøring 11. November 2022 Lønn"/>
    <s v=" "/>
    <n v="-309.2"/>
    <x v="3"/>
  </r>
  <r>
    <x v="1"/>
    <x v="4"/>
    <x v="4"/>
    <x v="6"/>
    <n v="44918"/>
    <n v="500173"/>
    <s v="Lønn kjøring 12. Desember 2022 Lønn"/>
    <s v=" "/>
    <n v="3877.55"/>
    <x v="3"/>
  </r>
  <r>
    <x v="1"/>
    <x v="4"/>
    <x v="4"/>
    <x v="1"/>
    <n v="44767"/>
    <n v="500168"/>
    <s v="Lønn kjøring 7. Juli 2022 Lønn"/>
    <s v=" "/>
    <n v="23.38"/>
    <x v="3"/>
  </r>
  <r>
    <x v="1"/>
    <x v="4"/>
    <x v="4"/>
    <x v="1"/>
    <n v="44767"/>
    <n v="500168"/>
    <s v="Lønn kjøring 7. Juli 2022 Lønn"/>
    <s v=" "/>
    <n v="3310.1"/>
    <x v="3"/>
  </r>
  <r>
    <x v="1"/>
    <x v="4"/>
    <x v="4"/>
    <x v="1"/>
    <n v="44767"/>
    <n v="500168"/>
    <s v="Lønn kjøring 7. Juli 2022 Lønn"/>
    <s v=" "/>
    <n v="-28.63"/>
    <x v="3"/>
  </r>
  <r>
    <x v="1"/>
    <x v="4"/>
    <x v="4"/>
    <x v="7"/>
    <n v="44827"/>
    <n v="500170"/>
    <s v="Lønn kjøring 9. September 2022 Lønn"/>
    <s v=" "/>
    <n v="3477.51"/>
    <x v="3"/>
  </r>
  <r>
    <x v="1"/>
    <x v="4"/>
    <x v="4"/>
    <x v="7"/>
    <n v="44827"/>
    <n v="500170"/>
    <s v="Lønn kjøring 9. September 2022 Lønn"/>
    <s v=" "/>
    <n v="-57.27"/>
    <x v="3"/>
  </r>
  <r>
    <x v="1"/>
    <x v="4"/>
    <x v="4"/>
    <x v="8"/>
    <n v="44798"/>
    <n v="500169"/>
    <s v="Lønn kjøring 8. August 2022 Lønn"/>
    <s v=" "/>
    <n v="162.66999999999999"/>
    <x v="3"/>
  </r>
  <r>
    <x v="1"/>
    <x v="4"/>
    <x v="4"/>
    <x v="8"/>
    <n v="44798"/>
    <n v="500169"/>
    <s v="Lønn kjøring 8. August 2022 Lønn"/>
    <s v=" "/>
    <n v="3045.08"/>
    <x v="3"/>
  </r>
  <r>
    <x v="1"/>
    <x v="4"/>
    <x v="4"/>
    <x v="3"/>
    <n v="44617"/>
    <n v="500163"/>
    <s v="Lønn kjøring 2. Februar 2022 Lønn"/>
    <s v=" "/>
    <n v="3362.05"/>
    <x v="3"/>
  </r>
  <r>
    <x v="1"/>
    <x v="4"/>
    <x v="4"/>
    <x v="5"/>
    <n v="44586"/>
    <n v="500162"/>
    <s v="Lønn kjøring 1. Januar 2022 Lønn"/>
    <s v=" "/>
    <n v="3462.88"/>
    <x v="3"/>
  </r>
  <r>
    <x v="1"/>
    <x v="4"/>
    <x v="4"/>
    <x v="5"/>
    <n v="44586"/>
    <n v="500162"/>
    <s v="Lønn kjøring 1. Januar 2022 Lønn"/>
    <s v=" "/>
    <n v="-57.27"/>
    <x v="3"/>
  </r>
  <r>
    <x v="1"/>
    <x v="4"/>
    <x v="4"/>
    <x v="11"/>
    <n v="44645"/>
    <n v="500164"/>
    <s v="Lønn kjøring 3. Mars 2022 Lønn"/>
    <s v=" "/>
    <n v="3152.32"/>
    <x v="3"/>
  </r>
  <r>
    <x v="1"/>
    <x v="4"/>
    <x v="4"/>
    <x v="11"/>
    <n v="44645"/>
    <n v="500164"/>
    <s v="Lønn kjøring 3. Mars 2022 Lønn"/>
    <s v=" "/>
    <n v="-28.63"/>
    <x v="3"/>
  </r>
  <r>
    <x v="1"/>
    <x v="4"/>
    <x v="4"/>
    <x v="4"/>
    <n v="44676"/>
    <n v="500165"/>
    <s v="Lønn kjøring 4. April 2022 Lønn"/>
    <s v=" "/>
    <n v="3740.69"/>
    <x v="3"/>
  </r>
  <r>
    <x v="1"/>
    <x v="4"/>
    <x v="4"/>
    <x v="2"/>
    <n v="44736"/>
    <n v="500167"/>
    <s v="Lønn kjøring 6. Juni 2022 Lønn"/>
    <s v=" "/>
    <n v="68.81"/>
    <x v="3"/>
  </r>
  <r>
    <x v="1"/>
    <x v="4"/>
    <x v="4"/>
    <x v="2"/>
    <n v="44736"/>
    <n v="500167"/>
    <s v="Lønn kjøring 6. Juni 2022 Lønn"/>
    <s v=" "/>
    <n v="3917.86"/>
    <x v="3"/>
  </r>
  <r>
    <x v="1"/>
    <x v="4"/>
    <x v="4"/>
    <x v="2"/>
    <n v="44736"/>
    <n v="500167"/>
    <s v="Lønn kjøring 6. Juni 2022 Lønn"/>
    <s v=" "/>
    <n v="-57.27"/>
    <x v="3"/>
  </r>
  <r>
    <x v="1"/>
    <x v="4"/>
    <x v="4"/>
    <x v="0"/>
    <n v="44706"/>
    <n v="500166"/>
    <s v="Lønn kjøring 5. Mai 2022 Lønn"/>
    <s v=" "/>
    <n v="126.19"/>
    <x v="3"/>
  </r>
  <r>
    <x v="1"/>
    <x v="4"/>
    <x v="4"/>
    <x v="0"/>
    <n v="44706"/>
    <n v="500166"/>
    <s v="Lønn kjøring 5. Mai 2022 Lønn"/>
    <s v=" "/>
    <n v="3554.28"/>
    <x v="3"/>
  </r>
  <r>
    <x v="1"/>
    <x v="4"/>
    <x v="4"/>
    <x v="10"/>
    <n v="44859"/>
    <n v="500171"/>
    <s v="Lønn kjøring 10. Oktober 2022 Lønn"/>
    <s v=" "/>
    <n v="3421.08"/>
    <x v="3"/>
  </r>
  <r>
    <x v="1"/>
    <x v="4"/>
    <x v="4"/>
    <x v="10"/>
    <n v="44859"/>
    <n v="500171"/>
    <s v="Lønn kjøring 10. Oktober 2022 Lønn"/>
    <s v=" "/>
    <n v="-68.709999999999994"/>
    <x v="3"/>
  </r>
  <r>
    <x v="1"/>
    <x v="5"/>
    <x v="5"/>
    <x v="10"/>
    <n v="44859"/>
    <n v="500171"/>
    <s v="Lønn kjøring 10. Oktober 2022 Lønn"/>
    <s v=" "/>
    <n v="3694"/>
    <x v="3"/>
  </r>
  <r>
    <x v="1"/>
    <x v="5"/>
    <x v="5"/>
    <x v="6"/>
    <n v="44918"/>
    <n v="500173"/>
    <s v="Lønn kjøring 12. Desember 2022 Lønn"/>
    <s v=" "/>
    <n v="3686"/>
    <x v="3"/>
  </r>
  <r>
    <x v="1"/>
    <x v="5"/>
    <x v="5"/>
    <x v="0"/>
    <n v="44706"/>
    <n v="500166"/>
    <s v="Lønn kjøring 5. Mai 2022 Lønn"/>
    <s v=" "/>
    <n v="2858"/>
    <x v="3"/>
  </r>
  <r>
    <x v="1"/>
    <x v="5"/>
    <x v="5"/>
    <x v="9"/>
    <n v="44890"/>
    <n v="500172"/>
    <s v="Lønn kjøring 11. November 2022 Lønn"/>
    <s v=" "/>
    <n v="3698"/>
    <x v="3"/>
  </r>
  <r>
    <x v="1"/>
    <x v="5"/>
    <x v="5"/>
    <x v="7"/>
    <n v="44827"/>
    <n v="500170"/>
    <s v="Lønn kjøring 9. September 2022 Lønn"/>
    <s v=" "/>
    <n v="3690"/>
    <x v="3"/>
  </r>
  <r>
    <x v="1"/>
    <x v="5"/>
    <x v="5"/>
    <x v="3"/>
    <n v="44617"/>
    <n v="500163"/>
    <s v="Lønn kjøring 2. Februar 2022 Lønn"/>
    <s v=" "/>
    <n v="10820"/>
    <x v="3"/>
  </r>
  <r>
    <x v="1"/>
    <x v="5"/>
    <x v="5"/>
    <x v="4"/>
    <n v="44676"/>
    <n v="500165"/>
    <s v="Lønn kjøring 4. April 2022 Lønn"/>
    <s v=" "/>
    <n v="2861"/>
    <x v="3"/>
  </r>
  <r>
    <x v="1"/>
    <x v="5"/>
    <x v="5"/>
    <x v="11"/>
    <n v="44645"/>
    <n v="500164"/>
    <s v="Lønn kjøring 3. Mars 2022 Lønn"/>
    <s v=" "/>
    <n v="2865"/>
    <x v="3"/>
  </r>
  <r>
    <x v="1"/>
    <x v="5"/>
    <x v="5"/>
    <x v="2"/>
    <n v="44736"/>
    <n v="500167"/>
    <s v="Lønn kjøring 6. Juni 2022 Lønn"/>
    <s v=" "/>
    <n v="2860"/>
    <x v="3"/>
  </r>
  <r>
    <x v="1"/>
    <x v="5"/>
    <x v="5"/>
    <x v="8"/>
    <n v="44798"/>
    <n v="500169"/>
    <s v="Lønn kjøring 8. August 2022 Lønn"/>
    <s v=" "/>
    <n v="3690"/>
    <x v="3"/>
  </r>
  <r>
    <x v="1"/>
    <x v="5"/>
    <x v="5"/>
    <x v="1"/>
    <n v="44767"/>
    <n v="500168"/>
    <s v="Lønn kjøring 7. Juli 2022 Lønn"/>
    <s v=" "/>
    <n v="2855"/>
    <x v="3"/>
  </r>
  <r>
    <x v="1"/>
    <x v="5"/>
    <x v="6"/>
    <x v="6"/>
    <n v="44918"/>
    <n v="500173"/>
    <s v="Lønn kjøring 12. Desember 2022 Lønn"/>
    <s v=" "/>
    <n v="-3686"/>
    <x v="3"/>
  </r>
  <r>
    <x v="1"/>
    <x v="5"/>
    <x v="6"/>
    <x v="9"/>
    <n v="44890"/>
    <n v="500172"/>
    <s v="Lønn kjøring 11. November 2022 Lønn"/>
    <s v=" "/>
    <n v="-3698"/>
    <x v="3"/>
  </r>
  <r>
    <x v="1"/>
    <x v="5"/>
    <x v="6"/>
    <x v="8"/>
    <n v="44798"/>
    <n v="500169"/>
    <s v="Lønn kjøring 8. August 2022 Lønn"/>
    <s v=" "/>
    <n v="-3690"/>
    <x v="3"/>
  </r>
  <r>
    <x v="1"/>
    <x v="5"/>
    <x v="6"/>
    <x v="7"/>
    <n v="44827"/>
    <n v="500170"/>
    <s v="Lønn kjøring 9. September 2022 Lønn"/>
    <s v=" "/>
    <n v="-3690"/>
    <x v="3"/>
  </r>
  <r>
    <x v="1"/>
    <x v="5"/>
    <x v="6"/>
    <x v="1"/>
    <n v="44767"/>
    <n v="500168"/>
    <s v="Lønn kjøring 7. Juli 2022 Lønn"/>
    <s v=" "/>
    <n v="-2855"/>
    <x v="3"/>
  </r>
  <r>
    <x v="1"/>
    <x v="5"/>
    <x v="6"/>
    <x v="3"/>
    <n v="44617"/>
    <n v="500163"/>
    <s v="Lønn kjøring 2. Februar 2022 Lønn"/>
    <s v=" "/>
    <n v="-10820"/>
    <x v="3"/>
  </r>
  <r>
    <x v="1"/>
    <x v="5"/>
    <x v="6"/>
    <x v="4"/>
    <n v="44676"/>
    <n v="500165"/>
    <s v="Lønn kjøring 4. April 2022 Lønn"/>
    <s v=" "/>
    <n v="-2861"/>
    <x v="3"/>
  </r>
  <r>
    <x v="1"/>
    <x v="5"/>
    <x v="6"/>
    <x v="11"/>
    <n v="44645"/>
    <n v="500164"/>
    <s v="Lønn kjøring 3. Mars 2022 Lønn"/>
    <s v=" "/>
    <n v="-2865"/>
    <x v="3"/>
  </r>
  <r>
    <x v="1"/>
    <x v="5"/>
    <x v="6"/>
    <x v="0"/>
    <n v="44706"/>
    <n v="500166"/>
    <s v="Lønn kjøring 5. Mai 2022 Lønn"/>
    <s v=" "/>
    <n v="-2858"/>
    <x v="3"/>
  </r>
  <r>
    <x v="1"/>
    <x v="5"/>
    <x v="6"/>
    <x v="2"/>
    <n v="44736"/>
    <n v="500167"/>
    <s v="Lønn kjøring 6. Juni 2022 Lønn"/>
    <s v=" "/>
    <n v="-2860"/>
    <x v="3"/>
  </r>
  <r>
    <x v="1"/>
    <x v="5"/>
    <x v="6"/>
    <x v="10"/>
    <n v="44859"/>
    <n v="500171"/>
    <s v="Lønn kjøring 10. Oktober 2022 Lønn"/>
    <s v=" "/>
    <n v="-3694"/>
    <x v="3"/>
  </r>
  <r>
    <x v="1"/>
    <x v="5"/>
    <x v="7"/>
    <x v="9"/>
    <n v="44894"/>
    <n v="2009789"/>
    <s v="Inngående faktura"/>
    <s v="Ottar H Brakstad AS"/>
    <n v="4600"/>
    <x v="3"/>
  </r>
  <r>
    <x v="1"/>
    <x v="5"/>
    <x v="7"/>
    <x v="8"/>
    <n v="44774"/>
    <n v="2009659"/>
    <s v="St1 Norge AS"/>
    <s v="Euroshellkort (St1 Norge AS)"/>
    <n v="527"/>
    <x v="3"/>
  </r>
  <r>
    <x v="1"/>
    <x v="5"/>
    <x v="7"/>
    <x v="8"/>
    <n v="44774"/>
    <n v="2009659"/>
    <s v="St1 Norge AS"/>
    <s v="Euroshellkort (St1 Norge AS)"/>
    <n v="598"/>
    <x v="3"/>
  </r>
  <r>
    <x v="1"/>
    <x v="5"/>
    <x v="7"/>
    <x v="8"/>
    <n v="44788"/>
    <n v="2340"/>
    <s v="sildajazz"/>
    <s v=" "/>
    <n v="1123"/>
    <x v="3"/>
  </r>
  <r>
    <x v="1"/>
    <x v="5"/>
    <x v="7"/>
    <x v="10"/>
    <n v="44835"/>
    <n v="2009708"/>
    <s v="St1 Norge AS"/>
    <s v="Euroshellkort (St1 Norge AS)"/>
    <n v="540.01"/>
    <x v="3"/>
  </r>
  <r>
    <x v="1"/>
    <x v="5"/>
    <x v="7"/>
    <x v="8"/>
    <n v="44774"/>
    <n v="2009659"/>
    <s v="St1 Norge AS"/>
    <s v="Euroshellkort (St1 Norge AS)"/>
    <n v="-527"/>
    <x v="3"/>
  </r>
  <r>
    <x v="1"/>
    <x v="5"/>
    <x v="7"/>
    <x v="8"/>
    <n v="44774"/>
    <n v="2009659"/>
    <s v="St1 Norge AS"/>
    <s v="Euroshellkort (St1 Norge AS)"/>
    <n v="-598"/>
    <x v="3"/>
  </r>
  <r>
    <x v="1"/>
    <x v="5"/>
    <x v="7"/>
    <x v="11"/>
    <n v="44651"/>
    <n v="2263"/>
    <s v="karmøy hagesenter"/>
    <s v=" "/>
    <n v="369.8"/>
    <x v="3"/>
  </r>
  <r>
    <x v="1"/>
    <x v="5"/>
    <x v="7"/>
    <x v="10"/>
    <n v="44835"/>
    <n v="2009708"/>
    <s v="St1 Norge AS"/>
    <s v="Euroshellkort (St1 Norge AS)"/>
    <n v="-540.01"/>
    <x v="3"/>
  </r>
  <r>
    <x v="1"/>
    <x v="5"/>
    <x v="8"/>
    <x v="4"/>
    <n v="44681"/>
    <n v="2009564"/>
    <s v="INVOLVE! PRO-X AS"/>
    <s v="Involve! Pro-X AS"/>
    <n v="1294"/>
    <x v="3"/>
  </r>
  <r>
    <x v="1"/>
    <x v="5"/>
    <x v="8"/>
    <x v="1"/>
    <n v="44761"/>
    <n v="4000363"/>
    <s v="TOOLS AS"/>
    <s v="Tools AS"/>
    <n v="2543"/>
    <x v="3"/>
  </r>
  <r>
    <x v="1"/>
    <x v="5"/>
    <x v="8"/>
    <x v="1"/>
    <n v="44764"/>
    <n v="4000368"/>
    <s v="TOOLS AS"/>
    <s v="Tools AS"/>
    <n v="1598"/>
    <x v="3"/>
  </r>
  <r>
    <x v="1"/>
    <x v="5"/>
    <x v="8"/>
    <x v="6"/>
    <n v="44924"/>
    <n v="4000711"/>
    <s v="INVOLVE! PRO-X AS"/>
    <s v="Involve! Pro-X AS"/>
    <n v="2811"/>
    <x v="3"/>
  </r>
  <r>
    <x v="1"/>
    <x v="5"/>
    <x v="9"/>
    <x v="6"/>
    <n v="44914"/>
    <n v="2009783"/>
    <s v="Kontant/diverse"/>
    <s v=" "/>
    <n v="250"/>
    <x v="3"/>
  </r>
  <r>
    <x v="1"/>
    <x v="5"/>
    <x v="9"/>
    <x v="6"/>
    <n v="44914"/>
    <n v="2009783"/>
    <s v="Kontant/diverse"/>
    <s v=" "/>
    <n v="2000"/>
    <x v="3"/>
  </r>
  <r>
    <x v="1"/>
    <x v="5"/>
    <x v="9"/>
    <x v="6"/>
    <n v="44914"/>
    <n v="2009783"/>
    <s v="Kontant/diverse"/>
    <s v=" "/>
    <n v="1000"/>
    <x v="3"/>
  </r>
  <r>
    <x v="1"/>
    <x v="5"/>
    <x v="9"/>
    <x v="6"/>
    <n v="44911"/>
    <n v="2009783"/>
    <s v="Kontant/diverse"/>
    <s v=" "/>
    <n v="4337"/>
    <x v="3"/>
  </r>
  <r>
    <x v="1"/>
    <x v="5"/>
    <x v="9"/>
    <x v="6"/>
    <n v="44914"/>
    <n v="2009783"/>
    <s v="Kontant/diverse"/>
    <s v=" "/>
    <n v="-250"/>
    <x v="3"/>
  </r>
  <r>
    <x v="1"/>
    <x v="5"/>
    <x v="9"/>
    <x v="6"/>
    <n v="44914"/>
    <n v="2009783"/>
    <s v="Kontant/diverse"/>
    <s v=" "/>
    <n v="-2000"/>
    <x v="3"/>
  </r>
  <r>
    <x v="1"/>
    <x v="5"/>
    <x v="9"/>
    <x v="6"/>
    <n v="44914"/>
    <n v="2009783"/>
    <s v="Kontant/diverse"/>
    <s v=" "/>
    <n v="-1000"/>
    <x v="3"/>
  </r>
  <r>
    <x v="1"/>
    <x v="5"/>
    <x v="9"/>
    <x v="6"/>
    <n v="44911"/>
    <n v="2009783"/>
    <s v="Kontant/diverse"/>
    <s v=" "/>
    <n v="-4337"/>
    <x v="3"/>
  </r>
  <r>
    <x v="1"/>
    <x v="5"/>
    <x v="9"/>
    <x v="6"/>
    <n v="44914"/>
    <n v="2380"/>
    <s v="Julegaver"/>
    <s v=" "/>
    <n v="4337"/>
    <x v="3"/>
  </r>
  <r>
    <x v="1"/>
    <x v="5"/>
    <x v="9"/>
    <x v="6"/>
    <n v="44914"/>
    <n v="2380"/>
    <s v="Julegaver"/>
    <s v=" "/>
    <n v="300"/>
    <x v="3"/>
  </r>
  <r>
    <x v="1"/>
    <x v="5"/>
    <x v="9"/>
    <x v="6"/>
    <n v="44915"/>
    <n v="2380"/>
    <s v="Julegaver"/>
    <s v=" "/>
    <n v="1016.9"/>
    <x v="3"/>
  </r>
  <r>
    <x v="1"/>
    <x v="5"/>
    <x v="9"/>
    <x v="6"/>
    <n v="44915"/>
    <n v="2380"/>
    <s v="Julegaver"/>
    <s v=" "/>
    <n v="1000"/>
    <x v="3"/>
  </r>
  <r>
    <x v="1"/>
    <x v="5"/>
    <x v="9"/>
    <x v="6"/>
    <n v="44915"/>
    <n v="2380"/>
    <s v="Julegaver"/>
    <s v=" "/>
    <n v="2000"/>
    <x v="3"/>
  </r>
  <r>
    <x v="1"/>
    <x v="5"/>
    <x v="9"/>
    <x v="6"/>
    <n v="44915"/>
    <n v="2380"/>
    <s v="Julegaver"/>
    <s v=" "/>
    <n v="999"/>
    <x v="3"/>
  </r>
  <r>
    <x v="1"/>
    <x v="5"/>
    <x v="9"/>
    <x v="6"/>
    <n v="44915"/>
    <n v="2380"/>
    <s v="Julegaver"/>
    <s v=" "/>
    <n v="250"/>
    <x v="3"/>
  </r>
  <r>
    <x v="1"/>
    <x v="5"/>
    <x v="10"/>
    <x v="7"/>
    <n v="44805"/>
    <n v="2009685"/>
    <s v="Livsforsikringsselskapet Nordea Liv Norge AS"/>
    <s v="Livsforsikringsselskapet Nordea Liv Norge AS"/>
    <n v="3698"/>
    <x v="3"/>
  </r>
  <r>
    <x v="1"/>
    <x v="5"/>
    <x v="10"/>
    <x v="8"/>
    <n v="44774"/>
    <n v="2009660"/>
    <s v="Livsforsikringsselskapet Nordea Liv Norge AS"/>
    <s v="Livsforsikringsselskapet Nordea Liv Norge AS"/>
    <n v="3694"/>
    <x v="3"/>
  </r>
  <r>
    <x v="1"/>
    <x v="5"/>
    <x v="10"/>
    <x v="10"/>
    <n v="44837"/>
    <n v="2009707"/>
    <s v="Inngående faktura"/>
    <s v="Livsforsikringsselskapet Nordea Liv Norge AS"/>
    <n v="3686"/>
    <x v="3"/>
  </r>
  <r>
    <x v="1"/>
    <x v="5"/>
    <x v="10"/>
    <x v="9"/>
    <n v="44866"/>
    <n v="2009731"/>
    <s v="Livsforsikringsselskapet Nordea Liv Norge AS"/>
    <s v="Livsforsikringsselskapet Nordea Liv Norge AS"/>
    <n v="3689"/>
    <x v="3"/>
  </r>
  <r>
    <x v="1"/>
    <x v="5"/>
    <x v="10"/>
    <x v="0"/>
    <n v="44683"/>
    <n v="2009565"/>
    <s v="Livsforsikringsselskapet Nordea Liv Norge AS"/>
    <s v="Livsforsikringsselskapet Nordea Liv Norge AS"/>
    <n v="2855"/>
    <x v="3"/>
  </r>
  <r>
    <x v="1"/>
    <x v="5"/>
    <x v="10"/>
    <x v="4"/>
    <n v="44652"/>
    <n v="2009519"/>
    <s v="Inngående faktura"/>
    <s v="Livsforsikringsselskapet Nordea Liv Norge AS"/>
    <n v="2860"/>
    <x v="3"/>
  </r>
  <r>
    <x v="1"/>
    <x v="5"/>
    <x v="10"/>
    <x v="2"/>
    <n v="44714"/>
    <n v="2009607"/>
    <s v="Inngående faktura"/>
    <s v="Livsforsikringsselskapet Nordea Liv Norge AS"/>
    <n v="7432"/>
    <x v="3"/>
  </r>
  <r>
    <x v="1"/>
    <x v="5"/>
    <x v="10"/>
    <x v="1"/>
    <n v="44743"/>
    <n v="2009634"/>
    <s v="Livsforsikringsselskapet Nordea Liv Norge AS"/>
    <s v="Livsforsikringsselskapet Nordea Liv Norge AS"/>
    <n v="3690"/>
    <x v="3"/>
  </r>
  <r>
    <x v="1"/>
    <x v="5"/>
    <x v="10"/>
    <x v="5"/>
    <n v="44564"/>
    <n v="2009394"/>
    <s v="Livsforsikringsselskapet Nordea Liv Norge AS"/>
    <s v="Livsforsikringsselskapet Nordea Liv Norge AS"/>
    <n v="2865"/>
    <x v="3"/>
  </r>
  <r>
    <x v="1"/>
    <x v="5"/>
    <x v="10"/>
    <x v="3"/>
    <n v="44593"/>
    <n v="2009425"/>
    <s v="Livsforsikringsselskapet Nordea Liv Norge AS"/>
    <s v="Livsforsikringsselskapet Nordea Liv Norge AS"/>
    <n v="2861"/>
    <x v="3"/>
  </r>
  <r>
    <x v="1"/>
    <x v="5"/>
    <x v="10"/>
    <x v="11"/>
    <n v="44621"/>
    <n v="2009460"/>
    <s v="Inngående faktura"/>
    <s v="Livsforsikringsselskapet Nordea Liv Norge AS"/>
    <n v="2858"/>
    <x v="3"/>
  </r>
  <r>
    <x v="1"/>
    <x v="5"/>
    <x v="10"/>
    <x v="6"/>
    <n v="44896"/>
    <n v="2009761"/>
    <s v="Livsforsikringsselskapet Nordea Liv Norge AS"/>
    <s v="Livsforsikringsselskapet Nordea Liv Norge AS"/>
    <n v="13344"/>
    <x v="3"/>
  </r>
  <r>
    <x v="1"/>
    <x v="6"/>
    <x v="11"/>
    <x v="6"/>
    <n v="44896"/>
    <n v="2009752"/>
    <s v="Inngående faktura"/>
    <s v="Steinar Olsen Eiendom AS"/>
    <n v="55600"/>
    <x v="3"/>
  </r>
  <r>
    <x v="1"/>
    <x v="6"/>
    <x v="11"/>
    <x v="2"/>
    <n v="44713"/>
    <n v="2009598"/>
    <s v="Steinar Olsen Eiendom AS"/>
    <s v="Steinar Olsen Eiendom AS"/>
    <n v="55600"/>
    <x v="3"/>
  </r>
  <r>
    <x v="1"/>
    <x v="6"/>
    <x v="11"/>
    <x v="1"/>
    <n v="44743"/>
    <n v="2009630"/>
    <s v="Inngående faktura"/>
    <s v="Steinar Olsen Eiendom AS"/>
    <n v="55600"/>
    <x v="3"/>
  </r>
  <r>
    <x v="1"/>
    <x v="6"/>
    <x v="11"/>
    <x v="8"/>
    <n v="44774"/>
    <n v="2009656"/>
    <s v="Inngående faktura"/>
    <s v="Steinar Olsen Eiendom AS"/>
    <n v="55600"/>
    <x v="3"/>
  </r>
  <r>
    <x v="1"/>
    <x v="6"/>
    <x v="11"/>
    <x v="5"/>
    <n v="44576"/>
    <n v="2009403"/>
    <s v="Inngående faktura"/>
    <s v="Steinar Olsen Eiendom AS"/>
    <n v="55600"/>
    <x v="3"/>
  </r>
  <r>
    <x v="1"/>
    <x v="6"/>
    <x v="11"/>
    <x v="3"/>
    <n v="44607"/>
    <n v="2009422"/>
    <s v="Inngående faktura"/>
    <s v="Steinar Olsen Eiendom AS"/>
    <n v="55600"/>
    <x v="3"/>
  </r>
  <r>
    <x v="1"/>
    <x v="6"/>
    <x v="11"/>
    <x v="11"/>
    <n v="44621"/>
    <n v="2009477"/>
    <s v="Inngående faktura"/>
    <s v="Steinar Olsen Eiendom AS"/>
    <n v="55600"/>
    <x v="3"/>
  </r>
  <r>
    <x v="1"/>
    <x v="6"/>
    <x v="11"/>
    <x v="4"/>
    <n v="44652"/>
    <n v="2009510"/>
    <s v="Inngående faktura"/>
    <s v="Steinar Olsen Eiendom AS"/>
    <n v="55600"/>
    <x v="3"/>
  </r>
  <r>
    <x v="1"/>
    <x v="6"/>
    <x v="11"/>
    <x v="0"/>
    <n v="44682"/>
    <n v="2009563"/>
    <s v="Steinar Olsen Eiendom"/>
    <s v="Steinar Olsen Eiendom AS"/>
    <n v="55600"/>
    <x v="3"/>
  </r>
  <r>
    <x v="1"/>
    <x v="6"/>
    <x v="11"/>
    <x v="7"/>
    <n v="44805"/>
    <n v="2009675"/>
    <s v="Inngående faktura"/>
    <s v=" "/>
    <n v="55600"/>
    <x v="3"/>
  </r>
  <r>
    <x v="1"/>
    <x v="6"/>
    <x v="11"/>
    <x v="10"/>
    <n v="44835"/>
    <n v="2009709"/>
    <s v="Inngående faktura"/>
    <s v="Steinar Olsen Eiendom AS"/>
    <n v="55600"/>
    <x v="3"/>
  </r>
  <r>
    <x v="1"/>
    <x v="6"/>
    <x v="11"/>
    <x v="9"/>
    <n v="44866"/>
    <n v="2009722"/>
    <s v="Inngående faktura"/>
    <s v="Steinar Olsen Eiendom AS"/>
    <n v="55600"/>
    <x v="3"/>
  </r>
  <r>
    <x v="1"/>
    <x v="7"/>
    <x v="12"/>
    <x v="2"/>
    <n v="44713"/>
    <n v="2009598"/>
    <s v="Steinar Olsen Eiendom AS"/>
    <s v="Steinar Olsen Eiendom AS"/>
    <n v="-55600"/>
    <x v="3"/>
  </r>
  <r>
    <x v="1"/>
    <x v="7"/>
    <x v="12"/>
    <x v="1"/>
    <n v="44743"/>
    <n v="2009630"/>
    <s v="Inngående faktura"/>
    <s v="Steinar Olsen Eiendom AS"/>
    <n v="-55600"/>
    <x v="3"/>
  </r>
  <r>
    <x v="1"/>
    <x v="7"/>
    <x v="12"/>
    <x v="8"/>
    <n v="44774"/>
    <n v="2009656"/>
    <s v="Inngående faktura"/>
    <s v="Steinar Olsen Eiendom AS"/>
    <n v="-44480"/>
    <x v="3"/>
  </r>
  <r>
    <x v="1"/>
    <x v="7"/>
    <x v="12"/>
    <x v="7"/>
    <n v="44805"/>
    <n v="2009675"/>
    <s v="Inngående faktura"/>
    <s v=" "/>
    <n v="55600"/>
    <x v="3"/>
  </r>
  <r>
    <x v="1"/>
    <x v="7"/>
    <x v="12"/>
    <x v="10"/>
    <n v="44835"/>
    <n v="2009709"/>
    <s v="Inngående faktura"/>
    <s v="Steinar Olsen Eiendom AS"/>
    <n v="55600"/>
    <x v="3"/>
  </r>
  <r>
    <x v="1"/>
    <x v="7"/>
    <x v="12"/>
    <x v="9"/>
    <n v="44866"/>
    <n v="2009722"/>
    <s v="Inngående faktura"/>
    <s v="Steinar Olsen Eiendom AS"/>
    <n v="55600"/>
    <x v="3"/>
  </r>
  <r>
    <x v="1"/>
    <x v="7"/>
    <x v="12"/>
    <x v="7"/>
    <n v="44805"/>
    <n v="2009675"/>
    <s v="Inngående faktura"/>
    <s v=" "/>
    <n v="-55600"/>
    <x v="3"/>
  </r>
  <r>
    <x v="1"/>
    <x v="7"/>
    <x v="12"/>
    <x v="10"/>
    <n v="44835"/>
    <n v="2009709"/>
    <s v="Inngående faktura"/>
    <s v="Steinar Olsen Eiendom AS"/>
    <n v="-55600"/>
    <x v="3"/>
  </r>
  <r>
    <x v="1"/>
    <x v="7"/>
    <x v="12"/>
    <x v="9"/>
    <n v="44866"/>
    <n v="2009722"/>
    <s v="Inngående faktura"/>
    <s v="Steinar Olsen Eiendom AS"/>
    <n v="-55600"/>
    <x v="3"/>
  </r>
  <r>
    <x v="1"/>
    <x v="7"/>
    <x v="12"/>
    <x v="4"/>
    <n v="44652"/>
    <n v="2009510"/>
    <s v="Inngående faktura"/>
    <s v="Steinar Olsen Eiendom AS"/>
    <n v="55600"/>
    <x v="3"/>
  </r>
  <r>
    <x v="1"/>
    <x v="7"/>
    <x v="12"/>
    <x v="11"/>
    <n v="44621"/>
    <n v="2009477"/>
    <s v="Inngående faktura"/>
    <s v="Steinar Olsen Eiendom AS"/>
    <n v="-44480"/>
    <x v="3"/>
  </r>
  <r>
    <x v="1"/>
    <x v="7"/>
    <x v="12"/>
    <x v="4"/>
    <n v="44652"/>
    <n v="2009510"/>
    <s v="Inngående faktura"/>
    <s v="Steinar Olsen Eiendom AS"/>
    <n v="-55600"/>
    <x v="3"/>
  </r>
  <r>
    <x v="1"/>
    <x v="7"/>
    <x v="12"/>
    <x v="0"/>
    <n v="44682"/>
    <n v="2009563"/>
    <s v="Steinar Olsen Eiendom"/>
    <s v="Steinar Olsen Eiendom AS"/>
    <n v="-55600"/>
    <x v="3"/>
  </r>
  <r>
    <x v="1"/>
    <x v="7"/>
    <x v="12"/>
    <x v="0"/>
    <n v="44682"/>
    <n v="2009563"/>
    <s v="Steinar Olsen Eiendom"/>
    <s v="Steinar Olsen Eiendom AS"/>
    <n v="55600"/>
    <x v="3"/>
  </r>
  <r>
    <x v="1"/>
    <x v="7"/>
    <x v="12"/>
    <x v="2"/>
    <n v="44713"/>
    <n v="2009598"/>
    <s v="Steinar Olsen Eiendom AS"/>
    <s v="Steinar Olsen Eiendom AS"/>
    <n v="55600"/>
    <x v="3"/>
  </r>
  <r>
    <x v="1"/>
    <x v="7"/>
    <x v="12"/>
    <x v="8"/>
    <n v="44774"/>
    <n v="2009656"/>
    <s v="Inngående faktura"/>
    <s v="Steinar Olsen Eiendom AS"/>
    <n v="44480"/>
    <x v="3"/>
  </r>
  <r>
    <x v="1"/>
    <x v="7"/>
    <x v="12"/>
    <x v="1"/>
    <n v="44743"/>
    <n v="2009630"/>
    <s v="Inngående faktura"/>
    <s v="Steinar Olsen Eiendom AS"/>
    <n v="55600"/>
    <x v="3"/>
  </r>
  <r>
    <x v="1"/>
    <x v="7"/>
    <x v="12"/>
    <x v="5"/>
    <n v="44576"/>
    <n v="2009403"/>
    <s v="Inngående faktura"/>
    <s v="Steinar Olsen Eiendom AS"/>
    <n v="55600"/>
    <x v="3"/>
  </r>
  <r>
    <x v="1"/>
    <x v="7"/>
    <x v="12"/>
    <x v="3"/>
    <n v="44607"/>
    <n v="2009422"/>
    <s v="Inngående faktura"/>
    <s v="Steinar Olsen Eiendom AS"/>
    <n v="55600"/>
    <x v="3"/>
  </r>
  <r>
    <x v="1"/>
    <x v="7"/>
    <x v="12"/>
    <x v="11"/>
    <n v="44621"/>
    <n v="2009477"/>
    <s v="Inngående faktura"/>
    <s v="Steinar Olsen Eiendom AS"/>
    <n v="44480"/>
    <x v="3"/>
  </r>
  <r>
    <x v="1"/>
    <x v="7"/>
    <x v="12"/>
    <x v="5"/>
    <n v="44576"/>
    <n v="2009403"/>
    <s v="Inngående faktura"/>
    <s v="Steinar Olsen Eiendom AS"/>
    <n v="-55600"/>
    <x v="3"/>
  </r>
  <r>
    <x v="1"/>
    <x v="7"/>
    <x v="12"/>
    <x v="3"/>
    <n v="44607"/>
    <n v="2009422"/>
    <s v="Inngående faktura"/>
    <s v="Steinar Olsen Eiendom AS"/>
    <n v="-55600"/>
    <x v="3"/>
  </r>
  <r>
    <x v="1"/>
    <x v="7"/>
    <x v="12"/>
    <x v="6"/>
    <n v="44896"/>
    <n v="2009752"/>
    <s v="Inngående faktura"/>
    <s v="Steinar Olsen Eiendom AS"/>
    <n v="-55600"/>
    <x v="3"/>
  </r>
  <r>
    <x v="1"/>
    <x v="7"/>
    <x v="12"/>
    <x v="6"/>
    <n v="44896"/>
    <n v="2009752"/>
    <s v="Inngående faktura"/>
    <s v="Steinar Olsen Eiendom AS"/>
    <n v="55600"/>
    <x v="3"/>
  </r>
  <r>
    <x v="1"/>
    <x v="8"/>
    <x v="13"/>
    <x v="7"/>
    <n v="44813"/>
    <n v="2009695"/>
    <s v="Inngående faktura"/>
    <s v="Haugaland Kraft AS"/>
    <n v="92036.38"/>
    <x v="3"/>
  </r>
  <r>
    <x v="1"/>
    <x v="8"/>
    <x v="13"/>
    <x v="7"/>
    <n v="44813"/>
    <n v="2009698"/>
    <s v="Inngående faktura"/>
    <s v="Haugaland Kraft AS"/>
    <n v="8792.82"/>
    <x v="3"/>
  </r>
  <r>
    <x v="1"/>
    <x v="8"/>
    <x v="13"/>
    <x v="1"/>
    <n v="44750"/>
    <n v="2009650"/>
    <s v="NB: Kontroller bankkonto på leverandør"/>
    <s v="Haugaland Kraft AS"/>
    <n v="42304.65"/>
    <x v="3"/>
  </r>
  <r>
    <x v="1"/>
    <x v="8"/>
    <x v="13"/>
    <x v="8"/>
    <n v="44782"/>
    <n v="2009669"/>
    <s v="Inngående faktura"/>
    <s v="Haugaland Kraft AS"/>
    <n v="58242.57"/>
    <x v="3"/>
  </r>
  <r>
    <x v="1"/>
    <x v="8"/>
    <x v="13"/>
    <x v="8"/>
    <n v="44782"/>
    <n v="2009670"/>
    <s v="Inngående faktura"/>
    <s v="Haugaland Kraft AS"/>
    <n v="6015.78"/>
    <x v="3"/>
  </r>
  <r>
    <x v="1"/>
    <x v="8"/>
    <x v="13"/>
    <x v="9"/>
    <n v="44875"/>
    <n v="2009748"/>
    <s v="Inngående faktura"/>
    <s v="Haugaland Kraft AS"/>
    <n v="1686.53"/>
    <x v="3"/>
  </r>
  <r>
    <x v="1"/>
    <x v="8"/>
    <x v="13"/>
    <x v="7"/>
    <n v="44659"/>
    <n v="2009724"/>
    <s v="Haugaland kraft AS"/>
    <s v="Haugaland Kraft AS"/>
    <n v="44664.29"/>
    <x v="3"/>
  </r>
  <r>
    <x v="1"/>
    <x v="8"/>
    <x v="13"/>
    <x v="7"/>
    <n v="44859"/>
    <n v="2009725"/>
    <s v="Haugaland kraft AS"/>
    <s v="Haugaland Kraft AS"/>
    <n v="7112.6"/>
    <x v="3"/>
  </r>
  <r>
    <x v="1"/>
    <x v="8"/>
    <x v="13"/>
    <x v="10"/>
    <n v="44845"/>
    <n v="2009720"/>
    <s v="Inngående faktura"/>
    <s v="Haugaland Kraft AS"/>
    <n v="71961.38"/>
    <x v="3"/>
  </r>
  <r>
    <x v="1"/>
    <x v="8"/>
    <x v="13"/>
    <x v="10"/>
    <n v="44845"/>
    <n v="2009721"/>
    <s v="Inngående faktura"/>
    <s v="Haugaland Kraft AS"/>
    <n v="7206.84"/>
    <x v="3"/>
  </r>
  <r>
    <x v="1"/>
    <x v="8"/>
    <x v="13"/>
    <x v="11"/>
    <n v="44631"/>
    <n v="2009489"/>
    <s v="Inngående faktura"/>
    <s v="Haugaland Kraft AS"/>
    <n v="29414.92"/>
    <x v="3"/>
  </r>
  <r>
    <x v="1"/>
    <x v="8"/>
    <x v="13"/>
    <x v="11"/>
    <n v="44631"/>
    <n v="2009488"/>
    <s v="Inngående faktura"/>
    <s v="Haugaland Kraft AS"/>
    <n v="4088.65"/>
    <x v="3"/>
  </r>
  <r>
    <x v="1"/>
    <x v="8"/>
    <x v="13"/>
    <x v="2"/>
    <n v="44721"/>
    <n v="2009623"/>
    <s v="Haugaland kraft AS"/>
    <s v="Haugaland Kraft AS"/>
    <n v="4883.46"/>
    <x v="3"/>
  </r>
  <r>
    <x v="1"/>
    <x v="8"/>
    <x v="13"/>
    <x v="2"/>
    <n v="44721"/>
    <n v="2009624"/>
    <s v="Haugaland kraft AS"/>
    <s v="Haugaland Kraft AS"/>
    <n v="39702.54"/>
    <x v="3"/>
  </r>
  <r>
    <x v="1"/>
    <x v="8"/>
    <x v="13"/>
    <x v="1"/>
    <n v="44750"/>
    <n v="2009652"/>
    <s v="Inngående faktura"/>
    <s v="Haugaland Kraft AS"/>
    <n v="4996.9799999999996"/>
    <x v="3"/>
  </r>
  <r>
    <x v="1"/>
    <x v="8"/>
    <x v="13"/>
    <x v="0"/>
    <n v="44691"/>
    <n v="2009590"/>
    <s v="Haugaland kraft AS"/>
    <s v="Haugaland Kraft AS"/>
    <n v="41614.300000000003"/>
    <x v="3"/>
  </r>
  <r>
    <x v="1"/>
    <x v="8"/>
    <x v="13"/>
    <x v="0"/>
    <n v="44691"/>
    <n v="2009591"/>
    <s v="Haugaland kraft AS"/>
    <s v="Haugaland Kraft AS"/>
    <n v="5708.3"/>
    <x v="3"/>
  </r>
  <r>
    <x v="1"/>
    <x v="8"/>
    <x v="13"/>
    <x v="5"/>
    <n v="44572"/>
    <n v="2009413"/>
    <s v="Inngående faktura"/>
    <s v="Haugaland Kraft AS"/>
    <n v="48184.55"/>
    <x v="3"/>
  </r>
  <r>
    <x v="1"/>
    <x v="8"/>
    <x v="13"/>
    <x v="5"/>
    <n v="44572"/>
    <n v="2009414"/>
    <s v="Inngående faktura"/>
    <s v="Haugaland Kraft AS"/>
    <n v="7076.33"/>
    <x v="3"/>
  </r>
  <r>
    <x v="1"/>
    <x v="8"/>
    <x v="13"/>
    <x v="3"/>
    <n v="44604"/>
    <n v="2009451"/>
    <s v="Inngående faktura"/>
    <s v="Haugaland Kraft AS"/>
    <n v="5161.43"/>
    <x v="3"/>
  </r>
  <r>
    <x v="1"/>
    <x v="8"/>
    <x v="13"/>
    <x v="3"/>
    <n v="44604"/>
    <n v="2009452"/>
    <s v="Inngående faktura"/>
    <s v="Haugaland Kraft AS"/>
    <n v="37150.199999999997"/>
    <x v="3"/>
  </r>
  <r>
    <x v="1"/>
    <x v="8"/>
    <x v="13"/>
    <x v="6"/>
    <n v="44903"/>
    <n v="2009766"/>
    <s v="Inngående faktura"/>
    <s v="Haugaland Kraft AS"/>
    <n v="60430.720000000001"/>
    <x v="3"/>
  </r>
  <r>
    <x v="1"/>
    <x v="8"/>
    <x v="13"/>
    <x v="6"/>
    <n v="44903"/>
    <n v="2009767"/>
    <s v="Inngående faktura"/>
    <s v="Haugaland Kraft AS"/>
    <n v="6380.14"/>
    <x v="3"/>
  </r>
  <r>
    <x v="1"/>
    <x v="8"/>
    <x v="14"/>
    <x v="4"/>
    <n v="44672"/>
    <n v="4000160"/>
    <s v="KARMØY KOMMUNE"/>
    <s v="Karmøy Kommune"/>
    <n v="108.75"/>
    <x v="3"/>
  </r>
  <r>
    <x v="1"/>
    <x v="8"/>
    <x v="14"/>
    <x v="4"/>
    <n v="44672"/>
    <n v="4000160"/>
    <s v="KARMØY KOMMUNE"/>
    <s v="Karmøy Kommune"/>
    <n v="45"/>
    <x v="3"/>
  </r>
  <r>
    <x v="1"/>
    <x v="8"/>
    <x v="14"/>
    <x v="4"/>
    <n v="44672"/>
    <n v="4000166"/>
    <s v="KARMØY KOMMUNE"/>
    <s v="Karmøy Kommune"/>
    <n v="1286.75"/>
    <x v="3"/>
  </r>
  <r>
    <x v="1"/>
    <x v="8"/>
    <x v="14"/>
    <x v="1"/>
    <n v="44747"/>
    <n v="4000311"/>
    <s v="KARMØY KOMMUNE"/>
    <s v="Karmøy Kommune"/>
    <n v="30752.34"/>
    <x v="3"/>
  </r>
  <r>
    <x v="1"/>
    <x v="8"/>
    <x v="14"/>
    <x v="1"/>
    <n v="44747"/>
    <n v="4000312"/>
    <s v="KARMØY KOMMUNE"/>
    <s v="Karmøy Kommune"/>
    <n v="8009.76"/>
    <x v="3"/>
  </r>
  <r>
    <x v="1"/>
    <x v="8"/>
    <x v="14"/>
    <x v="2"/>
    <n v="44305"/>
    <n v="2009620"/>
    <s v="Inngående faktura"/>
    <s v="Skal ikke betales fordi: &quot;er betalt&quot;"/>
    <n v="1266.4000000000001"/>
    <x v="3"/>
  </r>
  <r>
    <x v="1"/>
    <x v="8"/>
    <x v="14"/>
    <x v="10"/>
    <n v="44853"/>
    <n v="4000555"/>
    <s v="KARMØY KOMMUNE"/>
    <s v="Karmøy Kommune"/>
    <n v="108.75"/>
    <x v="3"/>
  </r>
  <r>
    <x v="1"/>
    <x v="8"/>
    <x v="14"/>
    <x v="10"/>
    <n v="44853"/>
    <n v="4000560"/>
    <s v="KARMØY KOMMUNE"/>
    <s v="Karmøy Kommune"/>
    <n v="1286.75"/>
    <x v="3"/>
  </r>
  <r>
    <x v="1"/>
    <x v="8"/>
    <x v="14"/>
    <x v="10"/>
    <n v="44853"/>
    <n v="4000560"/>
    <s v="KARMØY KOMMUNE"/>
    <s v="Karmøy Kommune"/>
    <n v="803"/>
    <x v="3"/>
  </r>
  <r>
    <x v="1"/>
    <x v="9"/>
    <x v="15"/>
    <x v="11"/>
    <n v="44651"/>
    <n v="2009534"/>
    <s v="Tekstil-Vask AS"/>
    <s v="Tekstil-Vask AS"/>
    <n v="1916.44"/>
    <x v="3"/>
  </r>
  <r>
    <x v="1"/>
    <x v="9"/>
    <x v="15"/>
    <x v="4"/>
    <n v="44681"/>
    <n v="2009574"/>
    <s v="Tekstil-Vask AS"/>
    <s v="Tekstil-Vask AS"/>
    <n v="2381.8000000000002"/>
    <x v="3"/>
  </r>
  <r>
    <x v="1"/>
    <x v="9"/>
    <x v="15"/>
    <x v="9"/>
    <n v="44895"/>
    <n v="2009759"/>
    <s v="Inngående faktura"/>
    <s v="Tekstil-Vask AS"/>
    <n v="2208.08"/>
    <x v="3"/>
  </r>
  <r>
    <x v="1"/>
    <x v="9"/>
    <x v="15"/>
    <x v="6"/>
    <n v="44926"/>
    <n v="2009778"/>
    <s v="Inngående faktura"/>
    <s v="Tekstil-Vask AS"/>
    <n v="2746.35"/>
    <x v="3"/>
  </r>
  <r>
    <x v="1"/>
    <x v="9"/>
    <x v="15"/>
    <x v="10"/>
    <n v="44865"/>
    <n v="2009740"/>
    <s v="Inngående faktura"/>
    <s v="Tekstil-Vask AS"/>
    <n v="2208.08"/>
    <x v="3"/>
  </r>
  <r>
    <x v="1"/>
    <x v="9"/>
    <x v="15"/>
    <x v="2"/>
    <n v="44742"/>
    <n v="2009642"/>
    <s v="Inngående faktura"/>
    <s v="Tekstil-Vask AS"/>
    <n v="2057.88"/>
    <x v="3"/>
  </r>
  <r>
    <x v="1"/>
    <x v="9"/>
    <x v="15"/>
    <x v="1"/>
    <n v="44754"/>
    <n v="2009646"/>
    <s v="Inngående faktura"/>
    <s v="Kolbeinsen Elektrosenter AS"/>
    <n v="279.2"/>
    <x v="3"/>
  </r>
  <r>
    <x v="1"/>
    <x v="9"/>
    <x v="15"/>
    <x v="0"/>
    <n v="44712"/>
    <n v="2009608"/>
    <s v="Inngående faktura"/>
    <s v="Tekstil-Vask AS"/>
    <n v="2057.88"/>
    <x v="3"/>
  </r>
  <r>
    <x v="1"/>
    <x v="9"/>
    <x v="15"/>
    <x v="8"/>
    <n v="44804"/>
    <n v="2009690"/>
    <s v="Inngående faktura"/>
    <s v="Tekstil-Vask AS"/>
    <n v="2057.88"/>
    <x v="3"/>
  </r>
  <r>
    <x v="1"/>
    <x v="9"/>
    <x v="15"/>
    <x v="8"/>
    <n v="44804"/>
    <n v="2009690"/>
    <s v="Inngående faktura"/>
    <s v="Tekstil-Vask AS"/>
    <n v="-2057.88"/>
    <x v="3"/>
  </r>
  <r>
    <x v="1"/>
    <x v="9"/>
    <x v="15"/>
    <x v="8"/>
    <n v="44804"/>
    <n v="2009690"/>
    <s v="Inngående faktura"/>
    <s v="Tekstil-Vask AS"/>
    <n v="2057.88"/>
    <x v="3"/>
  </r>
  <r>
    <x v="1"/>
    <x v="9"/>
    <x v="15"/>
    <x v="8"/>
    <n v="44789"/>
    <n v="4000413"/>
    <s v="Anticimex AS"/>
    <s v="Anticimex A/S"/>
    <n v="3822.64"/>
    <x v="3"/>
  </r>
  <r>
    <x v="1"/>
    <x v="9"/>
    <x v="15"/>
    <x v="1"/>
    <n v="44773"/>
    <n v="2009662"/>
    <s v="Inngående faktura"/>
    <s v="Tekstil-Vask AS"/>
    <n v="2558.6"/>
    <x v="3"/>
  </r>
  <r>
    <x v="1"/>
    <x v="9"/>
    <x v="15"/>
    <x v="5"/>
    <n v="44592"/>
    <n v="2009429"/>
    <s v="Inngående faktura"/>
    <s v="Tekstil-Vask AS"/>
    <n v="1916.44"/>
    <x v="3"/>
  </r>
  <r>
    <x v="1"/>
    <x v="9"/>
    <x v="15"/>
    <x v="11"/>
    <n v="44621"/>
    <n v="4000065"/>
    <s v="Pelias Norsk Skadedyrkontroll AS"/>
    <s v="Pelias Norsk Skadedyrkontroll AS"/>
    <n v="5416"/>
    <x v="3"/>
  </r>
  <r>
    <x v="1"/>
    <x v="9"/>
    <x v="15"/>
    <x v="3"/>
    <n v="44620"/>
    <n v="2009472"/>
    <s v="Inngående faktura"/>
    <s v="Tekstil-Vask AS"/>
    <n v="1916.44"/>
    <x v="3"/>
  </r>
  <r>
    <x v="1"/>
    <x v="9"/>
    <x v="15"/>
    <x v="11"/>
    <n v="44543"/>
    <n v="2009462"/>
    <s v="Inngående faktura"/>
    <s v="Kolbeinsen Elektrosenter AS"/>
    <n v="338"/>
    <x v="3"/>
  </r>
  <r>
    <x v="1"/>
    <x v="9"/>
    <x v="15"/>
    <x v="10"/>
    <n v="44851"/>
    <n v="4000553"/>
    <s v="Anticimex AS"/>
    <s v="Anticimex A/S"/>
    <n v="5910.7"/>
    <x v="3"/>
  </r>
  <r>
    <x v="1"/>
    <x v="9"/>
    <x v="15"/>
    <x v="7"/>
    <n v="44818"/>
    <n v="4000474"/>
    <s v="Asko Rogaland As"/>
    <s v="Asko Rogaland"/>
    <n v="480.36"/>
    <x v="3"/>
  </r>
  <r>
    <x v="1"/>
    <x v="9"/>
    <x v="15"/>
    <x v="7"/>
    <n v="44834"/>
    <n v="2009713"/>
    <s v="Inngående faktura"/>
    <s v="Tekstil-Vask AS"/>
    <n v="2746.35"/>
    <x v="3"/>
  </r>
  <r>
    <x v="1"/>
    <x v="9"/>
    <x v="16"/>
    <x v="6"/>
    <n v="44926"/>
    <n v="4000729"/>
    <s v="Franzefoss Gjenvinning AS"/>
    <s v="Franzefoss Gjenvinning AS"/>
    <n v="1811"/>
    <x v="3"/>
  </r>
  <r>
    <x v="1"/>
    <x v="9"/>
    <x v="16"/>
    <x v="9"/>
    <n v="44895"/>
    <n v="4000655"/>
    <s v="Franzefoss Gjenvinning AS"/>
    <s v="Franzefoss Gjenvinning AS"/>
    <n v="1486"/>
    <x v="3"/>
  </r>
  <r>
    <x v="1"/>
    <x v="9"/>
    <x v="16"/>
    <x v="9"/>
    <n v="44895"/>
    <n v="4000650"/>
    <s v="Ragn-Sells AS"/>
    <s v="Ragn Sells AS"/>
    <n v="764"/>
    <x v="3"/>
  </r>
  <r>
    <x v="1"/>
    <x v="9"/>
    <x v="16"/>
    <x v="6"/>
    <n v="44915"/>
    <n v="4000693"/>
    <s v="Ragn-Sells AS"/>
    <s v="Ragn Sells AS"/>
    <n v="2899.74"/>
    <x v="3"/>
  </r>
  <r>
    <x v="1"/>
    <x v="9"/>
    <x v="16"/>
    <x v="10"/>
    <n v="44865"/>
    <n v="4000593"/>
    <s v="Ragn-Sells AS"/>
    <s v="Ragn Sells AS"/>
    <n v="764"/>
    <x v="3"/>
  </r>
  <r>
    <x v="1"/>
    <x v="9"/>
    <x v="16"/>
    <x v="7"/>
    <n v="44831"/>
    <n v="4000504"/>
    <s v="Ragn-Sells AS"/>
    <s v="Ragn Sells AS"/>
    <n v="2895.54"/>
    <x v="3"/>
  </r>
  <r>
    <x v="1"/>
    <x v="9"/>
    <x v="16"/>
    <x v="10"/>
    <n v="44865"/>
    <n v="4000617"/>
    <s v="Franzefoss Gjenvinning AS"/>
    <s v="Franzefoss Gjenvinning AS"/>
    <n v="1492"/>
    <x v="3"/>
  </r>
  <r>
    <x v="1"/>
    <x v="9"/>
    <x v="16"/>
    <x v="9"/>
    <n v="44873"/>
    <n v="4000609"/>
    <s v="Ragn-Sells AS"/>
    <s v="Ragn Sells AS"/>
    <n v="3109.54"/>
    <x v="3"/>
  </r>
  <r>
    <x v="1"/>
    <x v="9"/>
    <x v="16"/>
    <x v="8"/>
    <n v="44804"/>
    <n v="4000452"/>
    <s v="Ragn-Sells AS"/>
    <s v="Ragn Sells AS"/>
    <n v="764"/>
    <x v="3"/>
  </r>
  <r>
    <x v="1"/>
    <x v="9"/>
    <x v="16"/>
    <x v="8"/>
    <n v="44804"/>
    <n v="4000455"/>
    <s v="Franzefoss Gjenvinning AS"/>
    <s v="Franzefoss Gjenvinning AS"/>
    <n v="1496"/>
    <x v="3"/>
  </r>
  <r>
    <x v="1"/>
    <x v="9"/>
    <x v="16"/>
    <x v="8"/>
    <n v="44796"/>
    <n v="4000426"/>
    <s v="Ragn-Sells AS"/>
    <s v="Ragn Sells AS"/>
    <n v="2685.66"/>
    <x v="3"/>
  </r>
  <r>
    <x v="1"/>
    <x v="9"/>
    <x v="16"/>
    <x v="0"/>
    <n v="44691"/>
    <n v="4000199"/>
    <s v="Ragn-Sells AS"/>
    <s v="Ragn Sells AS"/>
    <n v="2601.8000000000002"/>
    <x v="3"/>
  </r>
  <r>
    <x v="1"/>
    <x v="9"/>
    <x v="16"/>
    <x v="4"/>
    <n v="44681"/>
    <n v="4000181"/>
    <s v="Franzefoss Gjenvinning AS"/>
    <s v="Franzefoss Gjenvinning AS"/>
    <n v="1118"/>
    <x v="3"/>
  </r>
  <r>
    <x v="1"/>
    <x v="9"/>
    <x v="16"/>
    <x v="4"/>
    <n v="44681"/>
    <n v="4000190"/>
    <s v="Ragn-Sells AS"/>
    <s v="Ragn Sells AS"/>
    <n v="764"/>
    <x v="3"/>
  </r>
  <r>
    <x v="1"/>
    <x v="9"/>
    <x v="16"/>
    <x v="11"/>
    <n v="44651"/>
    <n v="4000133"/>
    <s v="Franzefoss Gjenvinning AS"/>
    <s v="Franzefoss Gjenvinning AS"/>
    <n v="1684"/>
    <x v="3"/>
  </r>
  <r>
    <x v="1"/>
    <x v="9"/>
    <x v="16"/>
    <x v="2"/>
    <n v="44726"/>
    <n v="4000274"/>
    <s v="Ragn-Sells AS"/>
    <s v="Ragn Sells AS"/>
    <n v="2162.84"/>
    <x v="3"/>
  </r>
  <r>
    <x v="1"/>
    <x v="9"/>
    <x v="16"/>
    <x v="0"/>
    <n v="44712"/>
    <n v="4000250"/>
    <s v="Ragn-Sells AS"/>
    <s v="Ragn Sells AS"/>
    <n v="764"/>
    <x v="3"/>
  </r>
  <r>
    <x v="1"/>
    <x v="9"/>
    <x v="16"/>
    <x v="0"/>
    <n v="44712"/>
    <n v="4000251"/>
    <s v="Franzefoss Gjenvinning AS"/>
    <s v="Franzefoss Gjenvinning AS"/>
    <n v="1410"/>
    <x v="3"/>
  </r>
  <r>
    <x v="1"/>
    <x v="9"/>
    <x v="16"/>
    <x v="2"/>
    <n v="44581"/>
    <n v="2009648"/>
    <s v="Karmøy Kommune"/>
    <s v="Karmøy Kommune"/>
    <n v="19705.599999999999"/>
    <x v="3"/>
  </r>
  <r>
    <x v="1"/>
    <x v="9"/>
    <x v="16"/>
    <x v="3"/>
    <n v="44620"/>
    <n v="4000080"/>
    <s v="Franzefoss Gjenvinning AS"/>
    <s v="Franzefoss Gjenvinning AS"/>
    <n v="1398"/>
    <x v="3"/>
  </r>
  <r>
    <x v="1"/>
    <x v="9"/>
    <x v="16"/>
    <x v="3"/>
    <n v="44620"/>
    <n v="4000083"/>
    <s v="Ragn-Sells AS"/>
    <s v="Ragn Sells AS"/>
    <n v="3718"/>
    <x v="3"/>
  </r>
  <r>
    <x v="1"/>
    <x v="9"/>
    <x v="16"/>
    <x v="11"/>
    <n v="44651"/>
    <n v="4000139"/>
    <s v="Ragn-Sells AS"/>
    <s v="Ragn Sells AS"/>
    <n v="3343.74"/>
    <x v="3"/>
  </r>
  <r>
    <x v="1"/>
    <x v="9"/>
    <x v="16"/>
    <x v="5"/>
    <n v="44592"/>
    <n v="4000027"/>
    <s v="Franzefoss Gjenvinning AS"/>
    <s v="Franzefoss Gjenvinning AS"/>
    <n v="1402"/>
    <x v="3"/>
  </r>
  <r>
    <x v="1"/>
    <x v="9"/>
    <x v="16"/>
    <x v="5"/>
    <n v="44592"/>
    <n v="4000030"/>
    <s v="Ragn-Sells AS"/>
    <s v="Ragn Sells AS"/>
    <n v="16029"/>
    <x v="3"/>
  </r>
  <r>
    <x v="1"/>
    <x v="9"/>
    <x v="16"/>
    <x v="5"/>
    <n v="44586"/>
    <n v="4000018"/>
    <s v="Ragn-Sells AS"/>
    <s v="Ragn Sells AS"/>
    <n v="2336.3200000000002"/>
    <x v="3"/>
  </r>
  <r>
    <x v="1"/>
    <x v="9"/>
    <x v="16"/>
    <x v="2"/>
    <n v="44742"/>
    <n v="4000318"/>
    <s v="Ragn-Sells AS"/>
    <s v="Ragn Sells AS"/>
    <n v="764"/>
    <x v="3"/>
  </r>
  <r>
    <x v="1"/>
    <x v="9"/>
    <x v="16"/>
    <x v="1"/>
    <n v="44773"/>
    <n v="4000383"/>
    <s v="Franzefoss Gjenvinning AS"/>
    <s v="Franzefoss Gjenvinning AS"/>
    <n v="1414"/>
    <x v="3"/>
  </r>
  <r>
    <x v="1"/>
    <x v="9"/>
    <x v="16"/>
    <x v="1"/>
    <n v="44773"/>
    <n v="4000385"/>
    <s v="Ragn-Sells AS"/>
    <s v="Ragn Sells AS"/>
    <n v="764"/>
    <x v="3"/>
  </r>
  <r>
    <x v="1"/>
    <x v="9"/>
    <x v="16"/>
    <x v="2"/>
    <n v="44742"/>
    <n v="4000314"/>
    <s v="Franzefoss Gjenvinning AS"/>
    <s v="Franzefoss Gjenvinning AS"/>
    <n v="1702"/>
    <x v="3"/>
  </r>
  <r>
    <x v="1"/>
    <x v="9"/>
    <x v="16"/>
    <x v="1"/>
    <n v="44754"/>
    <n v="4000341"/>
    <s v="Ragn-Sells AS"/>
    <s v="Ragn Sells AS"/>
    <n v="2861.73"/>
    <x v="3"/>
  </r>
  <r>
    <x v="1"/>
    <x v="9"/>
    <x v="16"/>
    <x v="7"/>
    <n v="44834"/>
    <n v="4000520"/>
    <s v="Ragn-Sells AS"/>
    <s v="Ragn Sells AS"/>
    <n v="764"/>
    <x v="3"/>
  </r>
  <r>
    <x v="1"/>
    <x v="9"/>
    <x v="16"/>
    <x v="7"/>
    <n v="44834"/>
    <n v="4000525"/>
    <s v="Franzefoss Gjenvinning AS"/>
    <s v="Franzefoss Gjenvinning AS"/>
    <n v="1811"/>
    <x v="3"/>
  </r>
  <r>
    <x v="1"/>
    <x v="9"/>
    <x v="17"/>
    <x v="6"/>
    <n v="44916"/>
    <n v="4000699"/>
    <s v="Asko Rogaland As"/>
    <s v="Asko Rogaland"/>
    <n v="455.3"/>
    <x v="3"/>
  </r>
  <r>
    <x v="1"/>
    <x v="9"/>
    <x v="17"/>
    <x v="6"/>
    <n v="44909"/>
    <n v="4000686"/>
    <s v="Asko Rogaland As"/>
    <s v="Asko Rogaland"/>
    <n v="455.3"/>
    <x v="3"/>
  </r>
  <r>
    <x v="1"/>
    <x v="10"/>
    <x v="18"/>
    <x v="6"/>
    <n v="44926"/>
    <n v="2009786"/>
    <s v="TONULL AS"/>
    <s v=" "/>
    <n v="2400"/>
    <x v="3"/>
  </r>
  <r>
    <x v="1"/>
    <x v="11"/>
    <x v="19"/>
    <x v="6"/>
    <n v="44914"/>
    <n v="2009783"/>
    <s v="Kontant/diverse"/>
    <s v=" "/>
    <n v="-799.2"/>
    <x v="3"/>
  </r>
  <r>
    <x v="1"/>
    <x v="11"/>
    <x v="19"/>
    <x v="6"/>
    <n v="44728"/>
    <n v="2009783"/>
    <s v="Kontant/diverse"/>
    <s v=" "/>
    <n v="-239.96"/>
    <x v="3"/>
  </r>
  <r>
    <x v="1"/>
    <x v="11"/>
    <x v="19"/>
    <x v="6"/>
    <n v="44910"/>
    <n v="2380"/>
    <s v="Apple"/>
    <s v=" "/>
    <n v="8142.4"/>
    <x v="3"/>
  </r>
  <r>
    <x v="1"/>
    <x v="11"/>
    <x v="19"/>
    <x v="10"/>
    <n v="44840"/>
    <n v="2361"/>
    <s v="firmatelefon"/>
    <s v=" "/>
    <n v="7992"/>
    <x v="3"/>
  </r>
  <r>
    <x v="1"/>
    <x v="11"/>
    <x v="19"/>
    <x v="6"/>
    <n v="44914"/>
    <n v="2009783"/>
    <s v="Kontant/diverse"/>
    <s v=" "/>
    <n v="799.2"/>
    <x v="3"/>
  </r>
  <r>
    <x v="1"/>
    <x v="11"/>
    <x v="19"/>
    <x v="6"/>
    <n v="44728"/>
    <n v="2009783"/>
    <s v="Kontant/diverse"/>
    <s v=" "/>
    <n v="239.96"/>
    <x v="3"/>
  </r>
  <r>
    <x v="1"/>
    <x v="11"/>
    <x v="19"/>
    <x v="1"/>
    <n v="44755"/>
    <n v="4000348"/>
    <s v="Butikkonsept AS"/>
    <s v="Butikkonsept AS"/>
    <n v="-15916"/>
    <x v="3"/>
  </r>
  <r>
    <x v="1"/>
    <x v="11"/>
    <x v="19"/>
    <x v="1"/>
    <n v="44770"/>
    <n v="4000375"/>
    <s v="Wennstrom Solutions &amp; Service AS"/>
    <s v="Wennstrom Net AS"/>
    <n v="7069.86"/>
    <x v="3"/>
  </r>
  <r>
    <x v="1"/>
    <x v="11"/>
    <x v="19"/>
    <x v="1"/>
    <n v="44755"/>
    <n v="4000348"/>
    <s v="Butikkonsept AS"/>
    <s v="Butikkonsept AS"/>
    <n v="15916"/>
    <x v="3"/>
  </r>
  <r>
    <x v="1"/>
    <x v="11"/>
    <x v="19"/>
    <x v="7"/>
    <n v="44833"/>
    <n v="4000516"/>
    <s v="Gastroline AS"/>
    <s v="Gastroline AS"/>
    <n v="1680"/>
    <x v="3"/>
  </r>
  <r>
    <x v="1"/>
    <x v="11"/>
    <x v="19"/>
    <x v="5"/>
    <n v="44591"/>
    <n v="4000020"/>
    <s v="Wennstrom Solutions &amp; Service AS"/>
    <s v="Wennstrom Net AS"/>
    <n v="7069.86"/>
    <x v="3"/>
  </r>
  <r>
    <x v="1"/>
    <x v="11"/>
    <x v="19"/>
    <x v="5"/>
    <n v="44589"/>
    <n v="4000032"/>
    <s v="Asko Rogaland As"/>
    <s v="Asko Rogaland"/>
    <n v="257.61"/>
    <x v="3"/>
  </r>
  <r>
    <x v="1"/>
    <x v="11"/>
    <x v="19"/>
    <x v="11"/>
    <n v="44622"/>
    <n v="4000079"/>
    <s v="Asko Rogaland As"/>
    <s v="Asko Rogaland"/>
    <n v="264.77999999999997"/>
    <x v="3"/>
  </r>
  <r>
    <x v="1"/>
    <x v="11"/>
    <x v="19"/>
    <x v="4"/>
    <n v="44673"/>
    <n v="4000175"/>
    <s v="Wennstrom Solutions &amp; Service AS"/>
    <s v="Wennstrom Net AS"/>
    <n v="7069.86"/>
    <x v="3"/>
  </r>
  <r>
    <x v="1"/>
    <x v="11"/>
    <x v="19"/>
    <x v="4"/>
    <n v="44673"/>
    <n v="4000175"/>
    <s v="Wennstrom Solutions &amp; Service AS"/>
    <s v="Wennstrom Net AS"/>
    <n v="-7069.86"/>
    <x v="3"/>
  </r>
  <r>
    <x v="1"/>
    <x v="11"/>
    <x v="19"/>
    <x v="4"/>
    <n v="44657"/>
    <n v="4000146"/>
    <s v="Asko Rogaland As"/>
    <s v="Asko Rogaland"/>
    <n v="264.77999999999997"/>
    <x v="3"/>
  </r>
  <r>
    <x v="1"/>
    <x v="11"/>
    <x v="19"/>
    <x v="4"/>
    <n v="44671"/>
    <n v="2280"/>
    <s v="høytrykkspyler"/>
    <s v=" "/>
    <n v="4558.3999999999996"/>
    <x v="3"/>
  </r>
  <r>
    <x v="1"/>
    <x v="11"/>
    <x v="19"/>
    <x v="0"/>
    <n v="44685"/>
    <n v="4000195"/>
    <s v="Asko Rogaland As"/>
    <s v="Asko Rogaland"/>
    <n v="264.77999999999997"/>
    <x v="3"/>
  </r>
  <r>
    <x v="1"/>
    <x v="11"/>
    <x v="19"/>
    <x v="2"/>
    <n v="44742"/>
    <n v="4000304"/>
    <s v="STORM PRISMERKING A.S"/>
    <s v="Storm Prismerking AS"/>
    <n v="70"/>
    <x v="3"/>
  </r>
  <r>
    <x v="1"/>
    <x v="11"/>
    <x v="19"/>
    <x v="2"/>
    <n v="44742"/>
    <n v="4000304"/>
    <s v="STORM PRISMERKING A.S"/>
    <s v="Storm Prismerking AS"/>
    <n v="-70"/>
    <x v="3"/>
  </r>
  <r>
    <x v="1"/>
    <x v="11"/>
    <x v="19"/>
    <x v="10"/>
    <n v="44847"/>
    <n v="4000546"/>
    <s v="STORM PRISMERKING A.S"/>
    <s v="Storm Prismerking AS"/>
    <n v="70"/>
    <x v="3"/>
  </r>
  <r>
    <x v="1"/>
    <x v="11"/>
    <x v="19"/>
    <x v="10"/>
    <n v="44851"/>
    <n v="4000552"/>
    <s v="Wennstrom Solutions &amp; Service AS"/>
    <s v="Wennstrom Net AS"/>
    <n v="7069.86"/>
    <x v="3"/>
  </r>
  <r>
    <x v="1"/>
    <x v="11"/>
    <x v="19"/>
    <x v="9"/>
    <n v="44866"/>
    <n v="2009730"/>
    <s v="Inngående faktura"/>
    <s v="Kolbeinsen Eiendom AS"/>
    <n v="2567.1999999999998"/>
    <x v="3"/>
  </r>
  <r>
    <x v="1"/>
    <x v="11"/>
    <x v="20"/>
    <x v="4"/>
    <n v="44680"/>
    <n v="4000188"/>
    <s v="Wurth Norge AS"/>
    <s v="Würth Norge AS"/>
    <n v="749"/>
    <x v="3"/>
  </r>
  <r>
    <x v="1"/>
    <x v="11"/>
    <x v="20"/>
    <x v="4"/>
    <n v="44657"/>
    <n v="4000145"/>
    <s v="Wurth Norge AS"/>
    <s v="Würth Norge AS"/>
    <n v="1186.95"/>
    <x v="3"/>
  </r>
  <r>
    <x v="1"/>
    <x v="11"/>
    <x v="20"/>
    <x v="9"/>
    <n v="44867"/>
    <n v="4000607"/>
    <s v="Wurth Norge AS"/>
    <s v="Würth Norge AS"/>
    <n v="773"/>
    <x v="3"/>
  </r>
  <r>
    <x v="1"/>
    <x v="11"/>
    <x v="20"/>
    <x v="1"/>
    <n v="44750"/>
    <n v="2009650"/>
    <s v="NB: Kontroller bankkonto på leverandør"/>
    <s v="Kopervik Bensin og Storkiosk AS"/>
    <n v="42304.65"/>
    <x v="3"/>
  </r>
  <r>
    <x v="1"/>
    <x v="11"/>
    <x v="20"/>
    <x v="1"/>
    <n v="44750"/>
    <n v="2009650"/>
    <s v="NB: Kontroller bankkonto på leverandør"/>
    <s v="Kopervik Bensin og Storkiosk AS"/>
    <n v="-42304.65"/>
    <x v="3"/>
  </r>
  <r>
    <x v="1"/>
    <x v="12"/>
    <x v="21"/>
    <x v="4"/>
    <n v="44657"/>
    <n v="4000146"/>
    <s v="Asko Rogaland As"/>
    <s v="Asko Rogaland"/>
    <n v="684.53"/>
    <x v="3"/>
  </r>
  <r>
    <x v="1"/>
    <x v="12"/>
    <x v="21"/>
    <x v="11"/>
    <n v="44643"/>
    <n v="4000115"/>
    <s v="Asko Rogaland As"/>
    <s v="Asko Rogaland"/>
    <n v="1352.7"/>
    <x v="3"/>
  </r>
  <r>
    <x v="1"/>
    <x v="12"/>
    <x v="21"/>
    <x v="11"/>
    <n v="44650"/>
    <n v="4000131"/>
    <s v="Asko Rogaland As"/>
    <s v="Asko Rogaland"/>
    <n v="792.68"/>
    <x v="3"/>
  </r>
  <r>
    <x v="1"/>
    <x v="12"/>
    <x v="21"/>
    <x v="11"/>
    <n v="44636"/>
    <n v="4000100"/>
    <s v="Asko Rogaland As"/>
    <s v="Asko Rogaland"/>
    <n v="1045.1600000000001"/>
    <x v="3"/>
  </r>
  <r>
    <x v="1"/>
    <x v="12"/>
    <x v="21"/>
    <x v="0"/>
    <n v="44685"/>
    <n v="4000195"/>
    <s v="Asko Rogaland As"/>
    <s v="Asko Rogaland"/>
    <n v="534.49"/>
    <x v="3"/>
  </r>
  <r>
    <x v="1"/>
    <x v="12"/>
    <x v="21"/>
    <x v="4"/>
    <n v="44681"/>
    <n v="2009576"/>
    <s v="Tor Ole Vikse AS"/>
    <s v="Tor Ole Vikse AS"/>
    <n v="549.26"/>
    <x v="3"/>
  </r>
  <r>
    <x v="1"/>
    <x v="12"/>
    <x v="21"/>
    <x v="0"/>
    <n v="44699"/>
    <n v="4000209"/>
    <s v="Asko Rogaland As"/>
    <s v="Asko Rogaland"/>
    <n v="268.26"/>
    <x v="3"/>
  </r>
  <r>
    <x v="1"/>
    <x v="12"/>
    <x v="21"/>
    <x v="0"/>
    <n v="44692"/>
    <n v="4000215"/>
    <s v="Asko Rogaland As"/>
    <s v="Asko Rogaland"/>
    <n v="2328.86"/>
    <x v="3"/>
  </r>
  <r>
    <x v="1"/>
    <x v="12"/>
    <x v="21"/>
    <x v="11"/>
    <n v="44651"/>
    <n v="2263"/>
    <s v="biltema"/>
    <s v=" "/>
    <n v="31.92"/>
    <x v="3"/>
  </r>
  <r>
    <x v="1"/>
    <x v="12"/>
    <x v="21"/>
    <x v="11"/>
    <n v="44651"/>
    <n v="2263"/>
    <s v="nille / europris"/>
    <s v=" "/>
    <n v="322.12"/>
    <x v="3"/>
  </r>
  <r>
    <x v="1"/>
    <x v="12"/>
    <x v="21"/>
    <x v="4"/>
    <n v="44678"/>
    <n v="4000171"/>
    <s v="Asko Rogaland As"/>
    <s v="Asko Rogaland"/>
    <n v="308.94"/>
    <x v="3"/>
  </r>
  <r>
    <x v="1"/>
    <x v="12"/>
    <x v="21"/>
    <x v="4"/>
    <n v="44680"/>
    <n v="4000179"/>
    <s v="Asko Rogaland As"/>
    <s v="Asko Rogaland"/>
    <n v="84.08"/>
    <x v="3"/>
  </r>
  <r>
    <x v="1"/>
    <x v="12"/>
    <x v="21"/>
    <x v="4"/>
    <n v="44664"/>
    <n v="4000155"/>
    <s v="Asko Rogaland As"/>
    <s v="Asko Rogaland"/>
    <n v="2794.18"/>
    <x v="3"/>
  </r>
  <r>
    <x v="1"/>
    <x v="12"/>
    <x v="21"/>
    <x v="4"/>
    <n v="44671"/>
    <n v="4000159"/>
    <s v="Asko Rogaland As"/>
    <s v="Asko Rogaland"/>
    <n v="714.6"/>
    <x v="3"/>
  </r>
  <r>
    <x v="1"/>
    <x v="12"/>
    <x v="21"/>
    <x v="9"/>
    <n v="44874"/>
    <n v="4000610"/>
    <s v="Asko Rogaland As"/>
    <s v="Asko Rogaland"/>
    <n v="1754.21"/>
    <x v="3"/>
  </r>
  <r>
    <x v="1"/>
    <x v="12"/>
    <x v="21"/>
    <x v="9"/>
    <n v="44883"/>
    <n v="4000627"/>
    <s v="Asko Rogaland As"/>
    <s v="Asko Rogaland"/>
    <n v="361.74"/>
    <x v="3"/>
  </r>
  <r>
    <x v="1"/>
    <x v="12"/>
    <x v="21"/>
    <x v="9"/>
    <n v="44867"/>
    <n v="4000620"/>
    <s v="Asko Rogaland As"/>
    <s v="Asko Rogaland"/>
    <n v="1184.3900000000001"/>
    <x v="3"/>
  </r>
  <r>
    <x v="1"/>
    <x v="12"/>
    <x v="21"/>
    <x v="10"/>
    <n v="44865"/>
    <n v="2009739"/>
    <s v="Inngående faktura"/>
    <s v=" "/>
    <n v="273.92"/>
    <x v="3"/>
  </r>
  <r>
    <x v="1"/>
    <x v="12"/>
    <x v="21"/>
    <x v="9"/>
    <n v="44888"/>
    <n v="4000636"/>
    <s v="Asko Rogaland As"/>
    <s v="Asko Rogaland"/>
    <n v="361.74"/>
    <x v="3"/>
  </r>
  <r>
    <x v="1"/>
    <x v="12"/>
    <x v="21"/>
    <x v="9"/>
    <n v="44881"/>
    <n v="4000594"/>
    <s v="Asko Rogaland As"/>
    <s v="Asko Rogaland"/>
    <n v="739.11"/>
    <x v="3"/>
  </r>
  <r>
    <x v="1"/>
    <x v="12"/>
    <x v="21"/>
    <x v="9"/>
    <n v="44895"/>
    <n v="4000649"/>
    <s v="Asko Rogaland As"/>
    <s v="Asko Rogaland"/>
    <n v="1170.6300000000001"/>
    <x v="3"/>
  </r>
  <r>
    <x v="1"/>
    <x v="12"/>
    <x v="21"/>
    <x v="6"/>
    <n v="44926"/>
    <n v="2009784"/>
    <s v="Inngående faktura"/>
    <s v=" "/>
    <n v="190.24"/>
    <x v="3"/>
  </r>
  <r>
    <x v="1"/>
    <x v="12"/>
    <x v="21"/>
    <x v="6"/>
    <n v="44904"/>
    <n v="2009783"/>
    <s v="Kontant/diverse"/>
    <s v=" "/>
    <n v="263.2"/>
    <x v="3"/>
  </r>
  <r>
    <x v="1"/>
    <x v="12"/>
    <x v="21"/>
    <x v="6"/>
    <n v="44914"/>
    <n v="2009783"/>
    <s v="Kontant/diverse"/>
    <s v=" "/>
    <n v="13.52"/>
    <x v="3"/>
  </r>
  <r>
    <x v="1"/>
    <x v="12"/>
    <x v="21"/>
    <x v="6"/>
    <n v="44918"/>
    <n v="4000701"/>
    <s v="Asko Rogaland As"/>
    <s v="Asko Rogaland"/>
    <n v="813"/>
    <x v="3"/>
  </r>
  <r>
    <x v="1"/>
    <x v="12"/>
    <x v="21"/>
    <x v="6"/>
    <n v="44925"/>
    <n v="4000708"/>
    <s v="Asko Rogaland As"/>
    <s v="Asko Rogaland"/>
    <n v="297.81"/>
    <x v="3"/>
  </r>
  <r>
    <x v="1"/>
    <x v="12"/>
    <x v="21"/>
    <x v="6"/>
    <n v="44916"/>
    <n v="4000699"/>
    <s v="Asko Rogaland As"/>
    <s v="Asko Rogaland"/>
    <n v="967.91"/>
    <x v="3"/>
  </r>
  <r>
    <x v="1"/>
    <x v="12"/>
    <x v="21"/>
    <x v="6"/>
    <n v="44909"/>
    <n v="4000686"/>
    <s v="Asko Rogaland As"/>
    <s v="Asko Rogaland"/>
    <n v="1138.42"/>
    <x v="3"/>
  </r>
  <r>
    <x v="1"/>
    <x v="12"/>
    <x v="21"/>
    <x v="6"/>
    <n v="44902"/>
    <n v="4000678"/>
    <s v="Asko Rogaland As"/>
    <s v="Asko Rogaland"/>
    <n v="2402.9"/>
    <x v="3"/>
  </r>
  <r>
    <x v="1"/>
    <x v="12"/>
    <x v="21"/>
    <x v="9"/>
    <n v="44895"/>
    <n v="2009758"/>
    <s v="Inngående faktura"/>
    <s v=" "/>
    <n v="131.84"/>
    <x v="3"/>
  </r>
  <r>
    <x v="1"/>
    <x v="12"/>
    <x v="21"/>
    <x v="6"/>
    <n v="44904"/>
    <n v="2009783"/>
    <s v="Kontant/diverse"/>
    <s v=" "/>
    <n v="-263.2"/>
    <x v="3"/>
  </r>
  <r>
    <x v="1"/>
    <x v="12"/>
    <x v="21"/>
    <x v="6"/>
    <n v="44914"/>
    <n v="2009783"/>
    <s v="Kontant/diverse"/>
    <s v=" "/>
    <n v="-13.52"/>
    <x v="3"/>
  </r>
  <r>
    <x v="1"/>
    <x v="12"/>
    <x v="21"/>
    <x v="1"/>
    <n v="44762"/>
    <n v="4000370"/>
    <s v="Asko Rogaland As"/>
    <s v="Asko Rogaland"/>
    <n v="1351.35"/>
    <x v="3"/>
  </r>
  <r>
    <x v="1"/>
    <x v="12"/>
    <x v="21"/>
    <x v="1"/>
    <n v="44755"/>
    <n v="4000348"/>
    <s v="Butikkonsept AS"/>
    <s v="Butikkonsept AS"/>
    <n v="1109"/>
    <x v="3"/>
  </r>
  <r>
    <x v="1"/>
    <x v="12"/>
    <x v="21"/>
    <x v="1"/>
    <n v="44755"/>
    <n v="4000349"/>
    <s v="Asko Rogaland As"/>
    <s v="Asko Rogaland"/>
    <n v="1205.94"/>
    <x v="3"/>
  </r>
  <r>
    <x v="1"/>
    <x v="12"/>
    <x v="21"/>
    <x v="1"/>
    <n v="44757"/>
    <n v="4000353"/>
    <s v="Asko Rogaland As"/>
    <s v="Asko Rogaland"/>
    <n v="73.75"/>
    <x v="3"/>
  </r>
  <r>
    <x v="1"/>
    <x v="12"/>
    <x v="21"/>
    <x v="2"/>
    <n v="44742"/>
    <n v="2308"/>
    <s v="Biltema"/>
    <s v=" "/>
    <n v="320.8"/>
    <x v="3"/>
  </r>
  <r>
    <x v="1"/>
    <x v="12"/>
    <x v="21"/>
    <x v="2"/>
    <n v="44742"/>
    <n v="2308"/>
    <s v="Europris"/>
    <s v=" "/>
    <n v="135.91999999999999"/>
    <x v="3"/>
  </r>
  <r>
    <x v="1"/>
    <x v="12"/>
    <x v="21"/>
    <x v="2"/>
    <n v="44742"/>
    <n v="2009639"/>
    <s v="Inngående faktura"/>
    <s v=" "/>
    <n v="288.60000000000002"/>
    <x v="3"/>
  </r>
  <r>
    <x v="1"/>
    <x v="12"/>
    <x v="21"/>
    <x v="1"/>
    <n v="44748"/>
    <n v="4000310"/>
    <s v="Asko Rogaland As"/>
    <s v="Asko Rogaland"/>
    <n v="1225.3399999999999"/>
    <x v="3"/>
  </r>
  <r>
    <x v="1"/>
    <x v="12"/>
    <x v="21"/>
    <x v="0"/>
    <n v="44712"/>
    <n v="2009609"/>
    <s v="Inngående faktura"/>
    <s v="Tor Ole Vikse AS"/>
    <n v="251.2"/>
    <x v="3"/>
  </r>
  <r>
    <x v="1"/>
    <x v="12"/>
    <x v="21"/>
    <x v="0"/>
    <n v="44706"/>
    <n v="4000226"/>
    <s v="Asko Rogaland As"/>
    <s v="Asko Rogaland"/>
    <n v="714.6"/>
    <x v="3"/>
  </r>
  <r>
    <x v="1"/>
    <x v="12"/>
    <x v="21"/>
    <x v="0"/>
    <n v="44701"/>
    <n v="4000230"/>
    <s v="Asko Rogaland As"/>
    <s v="Asko Rogaland"/>
    <n v="714.6"/>
    <x v="3"/>
  </r>
  <r>
    <x v="1"/>
    <x v="12"/>
    <x v="21"/>
    <x v="2"/>
    <n v="44721"/>
    <n v="4000259"/>
    <s v="TESS Vest as"/>
    <s v="Tess Vest AS"/>
    <n v="1078.8"/>
    <x v="3"/>
  </r>
  <r>
    <x v="1"/>
    <x v="12"/>
    <x v="21"/>
    <x v="2"/>
    <n v="44722"/>
    <n v="4000270"/>
    <s v="Asko Rogaland As"/>
    <s v="Asko Rogaland"/>
    <n v="204"/>
    <x v="3"/>
  </r>
  <r>
    <x v="1"/>
    <x v="12"/>
    <x v="21"/>
    <x v="2"/>
    <n v="44715"/>
    <n v="4000249"/>
    <s v="Asko Rogaland As"/>
    <s v="Asko Rogaland"/>
    <n v="1447.46"/>
    <x v="3"/>
  </r>
  <r>
    <x v="1"/>
    <x v="12"/>
    <x v="21"/>
    <x v="2"/>
    <n v="44720"/>
    <n v="4000255"/>
    <s v="Asko Rogaland As"/>
    <s v="Asko Rogaland"/>
    <n v="714.6"/>
    <x v="3"/>
  </r>
  <r>
    <x v="1"/>
    <x v="12"/>
    <x v="21"/>
    <x v="2"/>
    <n v="44742"/>
    <n v="4000304"/>
    <s v="STORM PRISMERKING A.S"/>
    <s v="Storm Prismerking AS"/>
    <n v="660.5"/>
    <x v="3"/>
  </r>
  <r>
    <x v="1"/>
    <x v="12"/>
    <x v="21"/>
    <x v="2"/>
    <n v="44727"/>
    <n v="4000278"/>
    <s v="Asko Rogaland As"/>
    <s v="Asko Rogaland"/>
    <n v="542.4"/>
    <x v="3"/>
  </r>
  <r>
    <x v="1"/>
    <x v="12"/>
    <x v="21"/>
    <x v="0"/>
    <n v="44691"/>
    <n v="2291"/>
    <s v="17 mai flagg"/>
    <s v=" "/>
    <n v="238.4"/>
    <x v="3"/>
  </r>
  <r>
    <x v="1"/>
    <x v="12"/>
    <x v="21"/>
    <x v="2"/>
    <n v="44734"/>
    <n v="4000285"/>
    <s v="Asko Rogaland As"/>
    <s v="Asko Rogaland"/>
    <n v="1000.68"/>
    <x v="3"/>
  </r>
  <r>
    <x v="1"/>
    <x v="12"/>
    <x v="21"/>
    <x v="2"/>
    <n v="44736"/>
    <n v="4000296"/>
    <s v="Asko Rogaland As"/>
    <s v="Asko Rogaland"/>
    <n v="130.88"/>
    <x v="3"/>
  </r>
  <r>
    <x v="1"/>
    <x v="12"/>
    <x v="21"/>
    <x v="2"/>
    <n v="44741"/>
    <n v="4000298"/>
    <s v="Asko Rogaland As"/>
    <s v="Asko Rogaland"/>
    <n v="1616.95"/>
    <x v="3"/>
  </r>
  <r>
    <x v="1"/>
    <x v="12"/>
    <x v="21"/>
    <x v="8"/>
    <n v="44797"/>
    <n v="4000422"/>
    <s v="Asko Rogaland As"/>
    <s v="Asko Rogaland"/>
    <n v="1095.71"/>
    <x v="3"/>
  </r>
  <r>
    <x v="1"/>
    <x v="12"/>
    <x v="21"/>
    <x v="1"/>
    <n v="44769"/>
    <n v="4000390"/>
    <s v="Asko Rogaland As"/>
    <s v="Asko Rogaland"/>
    <n v="275.99"/>
    <x v="3"/>
  </r>
  <r>
    <x v="1"/>
    <x v="12"/>
    <x v="21"/>
    <x v="1"/>
    <n v="44745"/>
    <n v="2009667"/>
    <s v="Joker"/>
    <s v=" "/>
    <n v="66.400000000000006"/>
    <x v="3"/>
  </r>
  <r>
    <x v="1"/>
    <x v="12"/>
    <x v="21"/>
    <x v="1"/>
    <n v="44770"/>
    <n v="2009667"/>
    <s v="Jernia"/>
    <s v=" "/>
    <n v="463.2"/>
    <x v="3"/>
  </r>
  <r>
    <x v="1"/>
    <x v="12"/>
    <x v="21"/>
    <x v="8"/>
    <n v="44776"/>
    <n v="4000378"/>
    <s v="Asko Rogaland As"/>
    <s v="Asko Rogaland"/>
    <n v="441.3"/>
    <x v="3"/>
  </r>
  <r>
    <x v="1"/>
    <x v="12"/>
    <x v="21"/>
    <x v="1"/>
    <n v="44773"/>
    <n v="2009664"/>
    <s v="Inngående faktura"/>
    <s v=" "/>
    <n v="123.66"/>
    <x v="3"/>
  </r>
  <r>
    <x v="1"/>
    <x v="12"/>
    <x v="21"/>
    <x v="8"/>
    <n v="44783"/>
    <n v="4000400"/>
    <s v="Asko Rogaland As"/>
    <s v="Asko Rogaland"/>
    <n v="441.3"/>
    <x v="3"/>
  </r>
  <r>
    <x v="1"/>
    <x v="12"/>
    <x v="21"/>
    <x v="1"/>
    <n v="44755"/>
    <n v="4000348"/>
    <s v="Butikkonsept AS"/>
    <s v="Butikkonsept AS"/>
    <n v="-1109"/>
    <x v="3"/>
  </r>
  <r>
    <x v="1"/>
    <x v="12"/>
    <x v="21"/>
    <x v="8"/>
    <n v="44804"/>
    <n v="2009687"/>
    <s v="Inngående faktura"/>
    <s v=" "/>
    <n v="214.24"/>
    <x v="3"/>
  </r>
  <r>
    <x v="1"/>
    <x v="12"/>
    <x v="21"/>
    <x v="8"/>
    <n v="44804"/>
    <n v="4000444"/>
    <s v="TESS Vest as"/>
    <s v="Tess Vest AS"/>
    <n v="539.4"/>
    <x v="3"/>
  </r>
  <r>
    <x v="1"/>
    <x v="12"/>
    <x v="21"/>
    <x v="7"/>
    <n v="44806"/>
    <n v="4000458"/>
    <s v="Asko Rogaland As"/>
    <s v="Asko Rogaland"/>
    <n v="739.11"/>
    <x v="3"/>
  </r>
  <r>
    <x v="1"/>
    <x v="12"/>
    <x v="21"/>
    <x v="7"/>
    <n v="44813"/>
    <n v="4000468"/>
    <s v="Asko Rogaland As"/>
    <s v="Asko Rogaland"/>
    <n v="3320.54"/>
    <x v="3"/>
  </r>
  <r>
    <x v="1"/>
    <x v="12"/>
    <x v="21"/>
    <x v="8"/>
    <n v="44804"/>
    <n v="4000437"/>
    <s v="Asko Rogaland As"/>
    <s v="Asko Rogaland"/>
    <n v="1057.08"/>
    <x v="3"/>
  </r>
  <r>
    <x v="1"/>
    <x v="12"/>
    <x v="21"/>
    <x v="11"/>
    <n v="44629"/>
    <n v="4000093"/>
    <s v="Asko Rogaland As"/>
    <s v="Asko Rogaland"/>
    <n v="979.78"/>
    <x v="3"/>
  </r>
  <r>
    <x v="1"/>
    <x v="12"/>
    <x v="21"/>
    <x v="3"/>
    <n v="44615"/>
    <n v="4000072"/>
    <s v="Asko Rogaland As"/>
    <s v="Asko Rogaland"/>
    <n v="911.42"/>
    <x v="3"/>
  </r>
  <r>
    <x v="1"/>
    <x v="12"/>
    <x v="21"/>
    <x v="3"/>
    <n v="44603"/>
    <n v="4000053"/>
    <s v="Asko Rogaland As"/>
    <s v="Asko Rogaland"/>
    <n v="107.34"/>
    <x v="3"/>
  </r>
  <r>
    <x v="1"/>
    <x v="12"/>
    <x v="21"/>
    <x v="3"/>
    <n v="44608"/>
    <n v="4000060"/>
    <s v="Asko Rogaland As"/>
    <s v="Asko Rogaland"/>
    <n v="286.08"/>
    <x v="3"/>
  </r>
  <r>
    <x v="1"/>
    <x v="12"/>
    <x v="21"/>
    <x v="3"/>
    <n v="44601"/>
    <n v="4000049"/>
    <s v="Asko Rogaland As"/>
    <s v="Asko Rogaland"/>
    <n v="837.93"/>
    <x v="3"/>
  </r>
  <r>
    <x v="1"/>
    <x v="12"/>
    <x v="21"/>
    <x v="3"/>
    <n v="44594"/>
    <n v="4000040"/>
    <s v="Asko Rogaland As"/>
    <s v="Asko Rogaland"/>
    <n v="484.7"/>
    <x v="3"/>
  </r>
  <r>
    <x v="1"/>
    <x v="12"/>
    <x v="21"/>
    <x v="5"/>
    <n v="44587"/>
    <n v="2009419"/>
    <s v="Asko Rogaland As"/>
    <s v="Asko Rogaland"/>
    <n v="992.16"/>
    <x v="3"/>
  </r>
  <r>
    <x v="1"/>
    <x v="12"/>
    <x v="21"/>
    <x v="5"/>
    <n v="44575"/>
    <n v="4000011"/>
    <s v="Asko Rogaland As"/>
    <s v="Asko Rogaland"/>
    <n v="248.6"/>
    <x v="3"/>
  </r>
  <r>
    <x v="1"/>
    <x v="12"/>
    <x v="21"/>
    <x v="5"/>
    <n v="44567"/>
    <n v="4000001"/>
    <s v="TESS Vest as"/>
    <s v="Tess Vest AS"/>
    <n v="428"/>
    <x v="3"/>
  </r>
  <r>
    <x v="1"/>
    <x v="12"/>
    <x v="21"/>
    <x v="5"/>
    <n v="44566"/>
    <n v="4000002"/>
    <s v="Asko Rogaland As"/>
    <s v="Asko Rogaland"/>
    <n v="2077.1799999999998"/>
    <x v="3"/>
  </r>
  <r>
    <x v="1"/>
    <x v="12"/>
    <x v="21"/>
    <x v="7"/>
    <n v="44834"/>
    <n v="2009715"/>
    <s v="Inngående faktura"/>
    <s v=" "/>
    <n v="56.8"/>
    <x v="3"/>
  </r>
  <r>
    <x v="1"/>
    <x v="12"/>
    <x v="21"/>
    <x v="7"/>
    <n v="44818"/>
    <n v="4000474"/>
    <s v="Asko Rogaland As"/>
    <s v="Asko Rogaland"/>
    <n v="1965.07"/>
    <x v="3"/>
  </r>
  <r>
    <x v="1"/>
    <x v="12"/>
    <x v="21"/>
    <x v="10"/>
    <n v="44853"/>
    <n v="4000550"/>
    <s v="Asko Rogaland As"/>
    <s v="Asko Rogaland"/>
    <n v="803.05"/>
    <x v="3"/>
  </r>
  <r>
    <x v="1"/>
    <x v="12"/>
    <x v="21"/>
    <x v="10"/>
    <n v="44848"/>
    <n v="4000551"/>
    <s v="Asko Rogaland As"/>
    <s v="Asko Rogaland"/>
    <n v="297.81"/>
    <x v="3"/>
  </r>
  <r>
    <x v="1"/>
    <x v="12"/>
    <x v="21"/>
    <x v="7"/>
    <n v="44832"/>
    <n v="4000503"/>
    <s v="Asko Rogaland As"/>
    <s v="Asko Rogaland"/>
    <n v="1744.9"/>
    <x v="3"/>
  </r>
  <r>
    <x v="1"/>
    <x v="12"/>
    <x v="21"/>
    <x v="10"/>
    <n v="44841"/>
    <n v="4000531"/>
    <s v="Asko Rogaland As"/>
    <s v="Asko Rogaland"/>
    <n v="310.60000000000002"/>
    <x v="3"/>
  </r>
  <r>
    <x v="1"/>
    <x v="12"/>
    <x v="21"/>
    <x v="7"/>
    <n v="44834"/>
    <n v="4000512"/>
    <s v="Asko Rogaland As"/>
    <s v="Asko Rogaland"/>
    <n v="73.75"/>
    <x v="3"/>
  </r>
  <r>
    <x v="1"/>
    <x v="12"/>
    <x v="21"/>
    <x v="10"/>
    <n v="44835"/>
    <n v="2009708"/>
    <s v="St1 Norge AS"/>
    <s v="Euroshellkort (St1 Norge AS)"/>
    <n v="638.4"/>
    <x v="3"/>
  </r>
  <r>
    <x v="1"/>
    <x v="12"/>
    <x v="21"/>
    <x v="10"/>
    <n v="44835"/>
    <n v="2009708"/>
    <s v="St1 Norge AS"/>
    <s v="Euroshellkort (St1 Norge AS)"/>
    <n v="-638.4"/>
    <x v="3"/>
  </r>
  <r>
    <x v="1"/>
    <x v="12"/>
    <x v="21"/>
    <x v="10"/>
    <n v="44860"/>
    <n v="4000569"/>
    <s v="Asko Rogaland As"/>
    <s v="Asko Rogaland"/>
    <n v="422.29"/>
    <x v="3"/>
  </r>
  <r>
    <x v="1"/>
    <x v="12"/>
    <x v="22"/>
    <x v="1"/>
    <n v="44745"/>
    <n v="2009667"/>
    <s v="Joker"/>
    <s v=" "/>
    <n v="2.4"/>
    <x v="3"/>
  </r>
  <r>
    <x v="1"/>
    <x v="13"/>
    <x v="23"/>
    <x v="3"/>
    <n v="44620"/>
    <n v="2009468"/>
    <s v="Inngående faktura"/>
    <s v="Holta &amp; Håland Bilvaskutstyr AS"/>
    <n v="5564.8"/>
    <x v="3"/>
  </r>
  <r>
    <x v="1"/>
    <x v="13"/>
    <x v="23"/>
    <x v="3"/>
    <n v="44596"/>
    <n v="2009435"/>
    <s v="Inngående faktura"/>
    <s v="Holta &amp; Håland Bilvaskutstyr AS"/>
    <n v="1590.4"/>
    <x v="3"/>
  </r>
  <r>
    <x v="1"/>
    <x v="13"/>
    <x v="23"/>
    <x v="5"/>
    <n v="44579"/>
    <n v="2009415"/>
    <s v="Inngående faktura"/>
    <s v="Holta &amp; Håland Bilvaskutstyr AS"/>
    <n v="3000"/>
    <x v="3"/>
  </r>
  <r>
    <x v="1"/>
    <x v="13"/>
    <x v="23"/>
    <x v="5"/>
    <n v="44579"/>
    <n v="2009416"/>
    <s v="Inngående faktura"/>
    <s v="Holta &amp; Håland Bilvaskutstyr AS"/>
    <n v="1363.2"/>
    <x v="3"/>
  </r>
  <r>
    <x v="1"/>
    <x v="13"/>
    <x v="23"/>
    <x v="5"/>
    <n v="44579"/>
    <n v="2009417"/>
    <s v="Inngående faktura"/>
    <s v="Holta &amp; Håland Bilvaskutstyr AS"/>
    <n v="1500"/>
    <x v="3"/>
  </r>
  <r>
    <x v="1"/>
    <x v="13"/>
    <x v="23"/>
    <x v="5"/>
    <n v="44589"/>
    <n v="2009421"/>
    <s v="Inngående faktura"/>
    <s v="Holta &amp; Håland Bilvaskutstyr AS"/>
    <n v="5564.8"/>
    <x v="3"/>
  </r>
  <r>
    <x v="1"/>
    <x v="13"/>
    <x v="24"/>
    <x v="9"/>
    <n v="44867"/>
    <n v="4000607"/>
    <s v="Wurth Norge AS"/>
    <s v="Würth Norge AS"/>
    <n v="899"/>
    <x v="3"/>
  </r>
  <r>
    <x v="1"/>
    <x v="13"/>
    <x v="24"/>
    <x v="9"/>
    <n v="44881"/>
    <n v="4000625"/>
    <s v="Wennstrom Solutions &amp; Service AS"/>
    <s v="Wennstrom Net AS"/>
    <n v="2395"/>
    <x v="3"/>
  </r>
  <r>
    <x v="1"/>
    <x v="13"/>
    <x v="24"/>
    <x v="1"/>
    <n v="44770"/>
    <n v="4000375"/>
    <s v="Wennstrom Solutions &amp; Service AS"/>
    <s v="Wennstrom Net AS"/>
    <n v="922.43"/>
    <x v="3"/>
  </r>
  <r>
    <x v="1"/>
    <x v="13"/>
    <x v="24"/>
    <x v="7"/>
    <n v="44820"/>
    <n v="4000486"/>
    <s v="TH KOLBEINSEN INSTALLASJON AS"/>
    <s v="Th Kolbeinsen Installasjon AS"/>
    <n v="1609.63"/>
    <x v="3"/>
  </r>
  <r>
    <x v="1"/>
    <x v="13"/>
    <x v="24"/>
    <x v="8"/>
    <n v="44802"/>
    <n v="4000453"/>
    <s v="Wennstrom Solutions &amp; Service AS"/>
    <s v="Wennstrom Net AS"/>
    <n v="8063.8"/>
    <x v="3"/>
  </r>
  <r>
    <x v="1"/>
    <x v="13"/>
    <x v="24"/>
    <x v="5"/>
    <n v="44591"/>
    <n v="4000020"/>
    <s v="Wennstrom Solutions &amp; Service AS"/>
    <s v="Wennstrom Net AS"/>
    <n v="922.43"/>
    <x v="3"/>
  </r>
  <r>
    <x v="1"/>
    <x v="13"/>
    <x v="24"/>
    <x v="4"/>
    <n v="44673"/>
    <n v="4000175"/>
    <s v="Wennstrom Solutions &amp; Service AS"/>
    <s v="Wennstrom Net AS"/>
    <n v="-922.43"/>
    <x v="3"/>
  </r>
  <r>
    <x v="1"/>
    <x v="13"/>
    <x v="24"/>
    <x v="4"/>
    <n v="44673"/>
    <n v="4000175"/>
    <s v="01.04.2022-30.06.2022"/>
    <s v="Wennstrom Net AS"/>
    <n v="-7992"/>
    <x v="3"/>
  </r>
  <r>
    <x v="1"/>
    <x v="13"/>
    <x v="24"/>
    <x v="4"/>
    <n v="44673"/>
    <n v="4000175"/>
    <s v="01.04.2022-30.06.2022"/>
    <s v="Wennstrom Net AS"/>
    <n v="2664"/>
    <x v="3"/>
  </r>
  <r>
    <x v="1"/>
    <x v="13"/>
    <x v="24"/>
    <x v="0"/>
    <n v="44673"/>
    <n v="4000175"/>
    <s v="01.04.2022-30.06.2022"/>
    <s v="Wennstrom Net AS"/>
    <n v="2664"/>
    <x v="3"/>
  </r>
  <r>
    <x v="1"/>
    <x v="13"/>
    <x v="24"/>
    <x v="2"/>
    <n v="44673"/>
    <n v="4000175"/>
    <s v="01.04.2022-30.06.2022"/>
    <s v="Wennstrom Net AS"/>
    <n v="2664"/>
    <x v="3"/>
  </r>
  <r>
    <x v="1"/>
    <x v="13"/>
    <x v="24"/>
    <x v="4"/>
    <n v="44673"/>
    <n v="4000175"/>
    <s v="01.04.2022-30.06.2022"/>
    <s v="Wennstrom Net AS"/>
    <n v="7992"/>
    <x v="3"/>
  </r>
  <r>
    <x v="1"/>
    <x v="13"/>
    <x v="24"/>
    <x v="4"/>
    <n v="44673"/>
    <n v="4000175"/>
    <s v="Wennstrom Solutions &amp; Service AS"/>
    <s v="Wennstrom Net AS"/>
    <n v="922.43"/>
    <x v="3"/>
  </r>
  <r>
    <x v="1"/>
    <x v="13"/>
    <x v="24"/>
    <x v="11"/>
    <n v="44631"/>
    <n v="2009493"/>
    <s v="Inngående faktura"/>
    <s v="Salhus Garasjeporter AS"/>
    <n v="5819"/>
    <x v="3"/>
  </r>
  <r>
    <x v="1"/>
    <x v="13"/>
    <x v="24"/>
    <x v="2"/>
    <n v="44740"/>
    <n v="2009627"/>
    <s v="Inngående faktura"/>
    <s v="Laguna Produkter AS"/>
    <n v="478.4"/>
    <x v="3"/>
  </r>
  <r>
    <x v="1"/>
    <x v="13"/>
    <x v="24"/>
    <x v="0"/>
    <n v="44712"/>
    <n v="4000246"/>
    <s v="NDS Group AS"/>
    <s v="Nds Group AS"/>
    <n v="4184.37"/>
    <x v="3"/>
  </r>
  <r>
    <x v="1"/>
    <x v="13"/>
    <x v="24"/>
    <x v="10"/>
    <n v="44851"/>
    <n v="4000552"/>
    <s v="Wennstrom Solutions &amp; Service AS"/>
    <s v="Wennstrom Net AS"/>
    <n v="922.43"/>
    <x v="3"/>
  </r>
  <r>
    <x v="1"/>
    <x v="13"/>
    <x v="25"/>
    <x v="3"/>
    <n v="44607"/>
    <n v="2009449"/>
    <s v="Inngående faktura"/>
    <s v="AE-FOODTECH AS"/>
    <n v="2083.1999999999998"/>
    <x v="3"/>
  </r>
  <r>
    <x v="1"/>
    <x v="13"/>
    <x v="25"/>
    <x v="2"/>
    <n v="44740"/>
    <n v="4000300"/>
    <s v="PRIMULATOR AS"/>
    <s v="Primulator AS"/>
    <n v="1288"/>
    <x v="3"/>
  </r>
  <r>
    <x v="1"/>
    <x v="13"/>
    <x v="26"/>
    <x v="10"/>
    <n v="44840"/>
    <n v="4000538"/>
    <s v="Konica Minolta Business Solutions Norway AS"/>
    <s v="Konica Minolta Business Solutions Norway AS"/>
    <n v="21.12"/>
    <x v="3"/>
  </r>
  <r>
    <x v="1"/>
    <x v="13"/>
    <x v="26"/>
    <x v="6"/>
    <n v="44900"/>
    <n v="4000658"/>
    <s v="Konica Minolta Business Solutions Norway AS"/>
    <s v="Konica Minolta Business Solutions Norway AS"/>
    <n v="21.12"/>
    <x v="3"/>
  </r>
  <r>
    <x v="1"/>
    <x v="13"/>
    <x v="26"/>
    <x v="6"/>
    <n v="44916"/>
    <n v="4000702"/>
    <s v="TESS Vest as"/>
    <s v="Tess Vest AS"/>
    <n v="1391.59"/>
    <x v="3"/>
  </r>
  <r>
    <x v="1"/>
    <x v="13"/>
    <x v="26"/>
    <x v="6"/>
    <n v="44914"/>
    <n v="4000705"/>
    <s v="Vedavågen Rør A/S"/>
    <s v="Vedavågen Rør AS"/>
    <n v="1511"/>
    <x v="3"/>
  </r>
  <r>
    <x v="1"/>
    <x v="13"/>
    <x v="26"/>
    <x v="6"/>
    <n v="44913"/>
    <n v="4000706"/>
    <s v="KULDEELEKTROTEKNIKK AS"/>
    <s v="Kuldeelektroteknikk AS"/>
    <n v="19721"/>
    <x v="3"/>
  </r>
  <r>
    <x v="1"/>
    <x v="13"/>
    <x v="26"/>
    <x v="6"/>
    <n v="44910"/>
    <n v="4000696"/>
    <s v="Vedavågen Rør A/S"/>
    <s v="Vedavågen Rør AS"/>
    <n v="2724.8"/>
    <x v="3"/>
  </r>
  <r>
    <x v="1"/>
    <x v="13"/>
    <x v="26"/>
    <x v="7"/>
    <n v="44809"/>
    <n v="4000442"/>
    <s v="Konica Minolta Business Solutions Norway AS"/>
    <s v="Konica Minolta Business Solutions Norway AS"/>
    <n v="21.12"/>
    <x v="3"/>
  </r>
  <r>
    <x v="1"/>
    <x v="13"/>
    <x v="26"/>
    <x v="8"/>
    <n v="44804"/>
    <n v="4000444"/>
    <s v="TESS Vest as"/>
    <s v="Tess Vest AS"/>
    <n v="573.88"/>
    <x v="3"/>
  </r>
  <r>
    <x v="1"/>
    <x v="13"/>
    <x v="26"/>
    <x v="9"/>
    <n v="44886"/>
    <n v="4000631"/>
    <s v="Konica Minolta Business Solutions Norway AS"/>
    <s v="Konica Minolta Business Solutions Norway AS"/>
    <n v="486.01"/>
    <x v="3"/>
  </r>
  <r>
    <x v="1"/>
    <x v="13"/>
    <x v="26"/>
    <x v="9"/>
    <n v="44869"/>
    <n v="4000618"/>
    <s v="Konica Minolta Business Solutions Norway AS"/>
    <s v="Konica Minolta Business Solutions Norway AS"/>
    <n v="21.12"/>
    <x v="3"/>
  </r>
  <r>
    <x v="1"/>
    <x v="13"/>
    <x v="26"/>
    <x v="0"/>
    <n v="44687"/>
    <n v="4000194"/>
    <s v="Konica Minolta Business Solutions Norway AS"/>
    <s v="Konica Minolta Business Solutions Norway AS"/>
    <n v="-21.12"/>
    <x v="3"/>
  </r>
  <r>
    <x v="1"/>
    <x v="13"/>
    <x v="26"/>
    <x v="10"/>
    <n v="44839"/>
    <n v="2009728"/>
    <s v="Inngående faktura"/>
    <s v="Uniton Kopervik Drift AS"/>
    <n v="372.96"/>
    <x v="3"/>
  </r>
  <r>
    <x v="1"/>
    <x v="13"/>
    <x v="26"/>
    <x v="0"/>
    <n v="44687"/>
    <n v="4000193"/>
    <s v="Konica Minolta Business Solutions Norway AS"/>
    <s v="Konica Minolta Business Solutions Norway AS"/>
    <n v="-486.01"/>
    <x v="3"/>
  </r>
  <r>
    <x v="1"/>
    <x v="13"/>
    <x v="26"/>
    <x v="2"/>
    <n v="44721"/>
    <n v="4000271"/>
    <s v="Konica Minolta Business Solutions Norway AS"/>
    <s v="Konica Minolta Business Solutions Norway AS"/>
    <n v="21.12"/>
    <x v="3"/>
  </r>
  <r>
    <x v="1"/>
    <x v="13"/>
    <x v="26"/>
    <x v="0"/>
    <n v="44687"/>
    <n v="4000194"/>
    <s v="Konica Minolta Business Solutions Norway AS"/>
    <s v="Konica Minolta Business Solutions Norway AS"/>
    <n v="21.12"/>
    <x v="3"/>
  </r>
  <r>
    <x v="1"/>
    <x v="13"/>
    <x v="26"/>
    <x v="4"/>
    <n v="44657"/>
    <n v="4000143"/>
    <s v="Konica Minolta Business Solutions Norway AS"/>
    <s v="Konica Minolta Business Solutions Norway AS"/>
    <n v="-17.600000000000001"/>
    <x v="3"/>
  </r>
  <r>
    <x v="1"/>
    <x v="13"/>
    <x v="26"/>
    <x v="0"/>
    <n v="44687"/>
    <n v="4000193"/>
    <s v="Konica Minolta Business Solutions Norway AS"/>
    <s v="Konica Minolta Business Solutions Norway AS"/>
    <n v="486.01"/>
    <x v="3"/>
  </r>
  <r>
    <x v="1"/>
    <x v="13"/>
    <x v="26"/>
    <x v="5"/>
    <n v="44567"/>
    <n v="4000001"/>
    <s v="TESS Vest as"/>
    <s v="Tess Vest AS"/>
    <n v="2812.95"/>
    <x v="3"/>
  </r>
  <r>
    <x v="1"/>
    <x v="13"/>
    <x v="26"/>
    <x v="5"/>
    <n v="44567"/>
    <n v="4000014"/>
    <s v="Konica Minolta Business Solutions Norway AS"/>
    <s v="Konica Minolta Business Solutions Norway AS"/>
    <n v="17.600000000000001"/>
    <x v="3"/>
  </r>
  <r>
    <x v="1"/>
    <x v="13"/>
    <x v="26"/>
    <x v="3"/>
    <n v="44599"/>
    <n v="4000037"/>
    <s v="Konica Minolta Business Solutions Norway AS"/>
    <s v="Konica Minolta Business Solutions Norway AS"/>
    <n v="17.600000000000001"/>
    <x v="3"/>
  </r>
  <r>
    <x v="1"/>
    <x v="13"/>
    <x v="26"/>
    <x v="3"/>
    <n v="44602"/>
    <n v="2009441"/>
    <s v="Inngående faktura"/>
    <s v="Badeva AS"/>
    <n v="202.4"/>
    <x v="3"/>
  </r>
  <r>
    <x v="1"/>
    <x v="13"/>
    <x v="26"/>
    <x v="3"/>
    <n v="44613"/>
    <n v="4000073"/>
    <s v="Konica Minolta Business Solutions Norway AS"/>
    <s v="Konica Minolta Business Solutions Norway AS"/>
    <n v="446.7"/>
    <x v="3"/>
  </r>
  <r>
    <x v="1"/>
    <x v="13"/>
    <x v="26"/>
    <x v="11"/>
    <n v="44627"/>
    <n v="4000076"/>
    <s v="Konica Minolta Business Solutions Norway AS"/>
    <s v="Konica Minolta Business Solutions Norway AS"/>
    <n v="17.600000000000001"/>
    <x v="3"/>
  </r>
  <r>
    <x v="1"/>
    <x v="13"/>
    <x v="26"/>
    <x v="4"/>
    <n v="44657"/>
    <n v="4000143"/>
    <s v="Konica Minolta Business Solutions Norway AS"/>
    <s v="Konica Minolta Business Solutions Norway AS"/>
    <n v="17.600000000000001"/>
    <x v="3"/>
  </r>
  <r>
    <x v="1"/>
    <x v="13"/>
    <x v="26"/>
    <x v="8"/>
    <n v="44788"/>
    <n v="4000412"/>
    <s v="Konica Minolta Business Solutions Norway AS"/>
    <s v="Konica Minolta Business Solutions Norway AS"/>
    <n v="486.01"/>
    <x v="3"/>
  </r>
  <r>
    <x v="1"/>
    <x v="13"/>
    <x v="26"/>
    <x v="2"/>
    <n v="44731"/>
    <n v="4000287"/>
    <s v="KULDEELEKTROTEKNIKK AS"/>
    <s v="Kuldeelektroteknikk AS"/>
    <n v="1438"/>
    <x v="3"/>
  </r>
  <r>
    <x v="1"/>
    <x v="13"/>
    <x v="26"/>
    <x v="2"/>
    <n v="44735"/>
    <n v="4000289"/>
    <s v="TESS Vest as"/>
    <s v="Tess Vest AS"/>
    <n v="2788.51"/>
    <x v="3"/>
  </r>
  <r>
    <x v="1"/>
    <x v="13"/>
    <x v="26"/>
    <x v="1"/>
    <n v="44761"/>
    <n v="4000359"/>
    <s v="Konica Minolta Business Solutions Norway AS"/>
    <s v="Konica Minolta Business Solutions Norway AS"/>
    <n v="21.12"/>
    <x v="3"/>
  </r>
  <r>
    <x v="1"/>
    <x v="13"/>
    <x v="26"/>
    <x v="8"/>
    <n v="44778"/>
    <n v="4000393"/>
    <s v="Konica Minolta Business Solutions Norway AS"/>
    <s v="Konica Minolta Business Solutions Norway AS"/>
    <n v="21.12"/>
    <x v="3"/>
  </r>
  <r>
    <x v="1"/>
    <x v="14"/>
    <x v="27"/>
    <x v="2"/>
    <n v="44714"/>
    <n v="2009615"/>
    <s v="Nets Branch Norway"/>
    <s v="Nets Branch Norway"/>
    <n v="225"/>
    <x v="3"/>
  </r>
  <r>
    <x v="1"/>
    <x v="14"/>
    <x v="27"/>
    <x v="10"/>
    <n v="44862"/>
    <n v="4000587"/>
    <s v="Protekt IT AS"/>
    <s v="Protekt It AS"/>
    <n v="2400"/>
    <x v="3"/>
  </r>
  <r>
    <x v="1"/>
    <x v="14"/>
    <x v="27"/>
    <x v="0"/>
    <n v="44687"/>
    <n v="4000194"/>
    <s v="Konica Minolta Business Solutions Norway AS"/>
    <s v="Konica Minolta Business Solutions Norway AS"/>
    <n v="206.81"/>
    <x v="3"/>
  </r>
  <r>
    <x v="1"/>
    <x v="14"/>
    <x v="27"/>
    <x v="0"/>
    <n v="44687"/>
    <n v="4000193"/>
    <s v="Konica Minolta Business Solutions Norway AS"/>
    <s v="Konica Minolta Business Solutions Norway AS"/>
    <n v="858.9"/>
    <x v="3"/>
  </r>
  <r>
    <x v="1"/>
    <x v="14"/>
    <x v="27"/>
    <x v="7"/>
    <n v="44807"/>
    <n v="2009693"/>
    <s v="Inngående faktura"/>
    <s v="Nets Branch Norway"/>
    <n v="225"/>
    <x v="3"/>
  </r>
  <r>
    <x v="1"/>
    <x v="14"/>
    <x v="27"/>
    <x v="7"/>
    <n v="44825"/>
    <n v="2009703"/>
    <s v="DEDIA AS"/>
    <s v=" "/>
    <n v="68.8"/>
    <x v="3"/>
  </r>
  <r>
    <x v="1"/>
    <x v="14"/>
    <x v="27"/>
    <x v="9"/>
    <n v="44886"/>
    <n v="4000631"/>
    <s v="Konica Minolta Business Solutions Norway AS"/>
    <s v="Konica Minolta Business Solutions Norway AS"/>
    <n v="675"/>
    <x v="3"/>
  </r>
  <r>
    <x v="1"/>
    <x v="14"/>
    <x v="27"/>
    <x v="9"/>
    <n v="44877"/>
    <n v="4000637"/>
    <s v="Konica Minolta Business Solutions Norway AS"/>
    <s v="Konica Minolta Business Solutions Norway AS"/>
    <n v="1520"/>
    <x v="3"/>
  </r>
  <r>
    <x v="1"/>
    <x v="14"/>
    <x v="27"/>
    <x v="9"/>
    <n v="44869"/>
    <n v="4000618"/>
    <s v="Konica Minolta Business Solutions Norway AS"/>
    <s v="Konica Minolta Business Solutions Norway AS"/>
    <n v="185.69"/>
    <x v="3"/>
  </r>
  <r>
    <x v="1"/>
    <x v="14"/>
    <x v="27"/>
    <x v="9"/>
    <n v="44867"/>
    <n v="2009741"/>
    <s v="Inngående faktura"/>
    <s v="Nets Branch Norway"/>
    <n v="395"/>
    <x v="3"/>
  </r>
  <r>
    <x v="1"/>
    <x v="14"/>
    <x v="27"/>
    <x v="7"/>
    <n v="44809"/>
    <n v="4000442"/>
    <s v="Konica Minolta Business Solutions Norway AS"/>
    <s v="Konica Minolta Business Solutions Norway AS"/>
    <n v="185.69"/>
    <x v="3"/>
  </r>
  <r>
    <x v="1"/>
    <x v="14"/>
    <x v="27"/>
    <x v="10"/>
    <n v="44838"/>
    <n v="2009718"/>
    <s v="Inngående faktura"/>
    <s v="Nets Branch Norway"/>
    <n v="225"/>
    <x v="3"/>
  </r>
  <r>
    <x v="1"/>
    <x v="14"/>
    <x v="27"/>
    <x v="7"/>
    <n v="44806"/>
    <n v="2009679"/>
    <s v="Inngående faktura"/>
    <s v="Nets Branch Norway"/>
    <n v="395"/>
    <x v="3"/>
  </r>
  <r>
    <x v="1"/>
    <x v="14"/>
    <x v="27"/>
    <x v="6"/>
    <n v="44911"/>
    <n v="2009771"/>
    <s v="Avonova Solutions AS"/>
    <s v="Avonova Solutions AS"/>
    <n v="1528.56"/>
    <x v="3"/>
  </r>
  <r>
    <x v="1"/>
    <x v="14"/>
    <x v="27"/>
    <x v="6"/>
    <n v="44911"/>
    <n v="2009771"/>
    <s v="Avonova Solutions AS"/>
    <s v="Avonova Solutions AS"/>
    <n v="208.44"/>
    <x v="3"/>
  </r>
  <r>
    <x v="1"/>
    <x v="14"/>
    <x v="27"/>
    <x v="6"/>
    <n v="44897"/>
    <n v="2009755"/>
    <s v="Inngående faktura"/>
    <s v="Nets Branch Norway"/>
    <n v="395"/>
    <x v="3"/>
  </r>
  <r>
    <x v="1"/>
    <x v="14"/>
    <x v="27"/>
    <x v="10"/>
    <n v="44840"/>
    <n v="4000538"/>
    <s v="Konica Minolta Business Solutions Norway AS"/>
    <s v="Konica Minolta Business Solutions Norway AS"/>
    <n v="185.69"/>
    <x v="3"/>
  </r>
  <r>
    <x v="1"/>
    <x v="14"/>
    <x v="27"/>
    <x v="6"/>
    <n v="44900"/>
    <n v="4000658"/>
    <s v="Konica Minolta Business Solutions Norway AS"/>
    <s v="Konica Minolta Business Solutions Norway AS"/>
    <n v="185.69"/>
    <x v="3"/>
  </r>
  <r>
    <x v="1"/>
    <x v="14"/>
    <x v="27"/>
    <x v="10"/>
    <n v="44847"/>
    <n v="2009723"/>
    <s v="Avonova Solutions AS"/>
    <s v=" "/>
    <n v="2126.69"/>
    <x v="3"/>
  </r>
  <r>
    <x v="1"/>
    <x v="14"/>
    <x v="27"/>
    <x v="10"/>
    <n v="44847"/>
    <n v="2009723"/>
    <s v="Avonova Solutions AS"/>
    <s v=" "/>
    <n v="290"/>
    <x v="3"/>
  </r>
  <r>
    <x v="1"/>
    <x v="14"/>
    <x v="27"/>
    <x v="10"/>
    <n v="44838"/>
    <n v="2009714"/>
    <s v="Inngående faktura"/>
    <s v="Nets Branch Norway"/>
    <n v="395"/>
    <x v="3"/>
  </r>
  <r>
    <x v="1"/>
    <x v="14"/>
    <x v="27"/>
    <x v="11"/>
    <n v="44622"/>
    <n v="2009511"/>
    <s v="Inngående faktura"/>
    <s v="Nets Branch Norway"/>
    <n v="289.29000000000002"/>
    <x v="3"/>
  </r>
  <r>
    <x v="1"/>
    <x v="14"/>
    <x v="27"/>
    <x v="5"/>
    <n v="44565"/>
    <n v="2009371"/>
    <s v="Inngående faktura"/>
    <s v="Nets Branch Norway"/>
    <n v="395"/>
    <x v="3"/>
  </r>
  <r>
    <x v="1"/>
    <x v="14"/>
    <x v="27"/>
    <x v="0"/>
    <n v="44687"/>
    <n v="4000194"/>
    <s v="Konica Minolta Business Solutions Norway AS"/>
    <s v="Konica Minolta Business Solutions Norway AS"/>
    <n v="185.69"/>
    <x v="3"/>
  </r>
  <r>
    <x v="1"/>
    <x v="14"/>
    <x v="27"/>
    <x v="0"/>
    <n v="44684"/>
    <n v="2009568"/>
    <s v="Inngående faktura"/>
    <s v="Nets Branch Norway"/>
    <n v="395"/>
    <x v="3"/>
  </r>
  <r>
    <x v="1"/>
    <x v="14"/>
    <x v="27"/>
    <x v="4"/>
    <n v="44655"/>
    <n v="2009551"/>
    <s v="Inngående faktura"/>
    <s v="Nets Branch Norway"/>
    <n v="225"/>
    <x v="3"/>
  </r>
  <r>
    <x v="1"/>
    <x v="14"/>
    <x v="27"/>
    <x v="4"/>
    <n v="44657"/>
    <n v="4000143"/>
    <s v="Konica Minolta Business Solutions Norway AS"/>
    <s v="Konica Minolta Business Solutions Norway AS"/>
    <n v="-163.1"/>
    <x v="3"/>
  </r>
  <r>
    <x v="1"/>
    <x v="14"/>
    <x v="27"/>
    <x v="4"/>
    <n v="44657"/>
    <n v="4000143"/>
    <s v="Konica Minolta Business Solutions Norway AS"/>
    <s v="Konica Minolta Business Solutions Norway AS"/>
    <n v="180.7"/>
    <x v="3"/>
  </r>
  <r>
    <x v="1"/>
    <x v="14"/>
    <x v="27"/>
    <x v="5"/>
    <n v="44567"/>
    <n v="4000014"/>
    <s v="Konica Minolta Business Solutions Norway AS"/>
    <s v="Konica Minolta Business Solutions Norway AS"/>
    <n v="154.30000000000001"/>
    <x v="3"/>
  </r>
  <r>
    <x v="1"/>
    <x v="14"/>
    <x v="27"/>
    <x v="2"/>
    <n v="44714"/>
    <n v="2009602"/>
    <s v="Inngående faktura"/>
    <s v="Nets Branch Norway"/>
    <n v="395"/>
    <x v="3"/>
  </r>
  <r>
    <x v="1"/>
    <x v="14"/>
    <x v="27"/>
    <x v="2"/>
    <n v="44721"/>
    <n v="4000271"/>
    <s v="Konica Minolta Business Solutions Norway AS"/>
    <s v="Konica Minolta Business Solutions Norway AS"/>
    <n v="185.69"/>
    <x v="3"/>
  </r>
  <r>
    <x v="1"/>
    <x v="14"/>
    <x v="27"/>
    <x v="4"/>
    <n v="44655"/>
    <n v="2009530"/>
    <s v="Nets Branch Norway"/>
    <s v="Nets Branch Norway"/>
    <n v="395"/>
    <x v="3"/>
  </r>
  <r>
    <x v="1"/>
    <x v="14"/>
    <x v="27"/>
    <x v="0"/>
    <n v="44684"/>
    <n v="2009581"/>
    <s v="Nets Branch Norway"/>
    <s v="Nets Branch Norway"/>
    <n v="225"/>
    <x v="3"/>
  </r>
  <r>
    <x v="1"/>
    <x v="14"/>
    <x v="27"/>
    <x v="0"/>
    <n v="44687"/>
    <n v="4000194"/>
    <s v="Konica Minolta Business Solutions Norway AS"/>
    <s v="Konica Minolta Business Solutions Norway AS"/>
    <n v="-185.69"/>
    <x v="3"/>
  </r>
  <r>
    <x v="1"/>
    <x v="14"/>
    <x v="27"/>
    <x v="11"/>
    <n v="44627"/>
    <n v="4000076"/>
    <s v="Konica Minolta Business Solutions Norway AS"/>
    <s v="Konica Minolta Business Solutions Norway AS"/>
    <n v="163.1"/>
    <x v="3"/>
  </r>
  <r>
    <x v="1"/>
    <x v="14"/>
    <x v="27"/>
    <x v="4"/>
    <n v="44657"/>
    <n v="4000143"/>
    <s v="Konica Minolta Business Solutions Norway AS"/>
    <s v="Konica Minolta Business Solutions Norway AS"/>
    <n v="163.1"/>
    <x v="3"/>
  </r>
  <r>
    <x v="1"/>
    <x v="14"/>
    <x v="27"/>
    <x v="3"/>
    <n v="44613"/>
    <n v="4000073"/>
    <s v="Konica Minolta Business Solutions Norway AS"/>
    <s v="Konica Minolta Business Solutions Norway AS"/>
    <n v="640"/>
    <x v="3"/>
  </r>
  <r>
    <x v="1"/>
    <x v="14"/>
    <x v="27"/>
    <x v="5"/>
    <n v="44592"/>
    <n v="4000046"/>
    <s v="Konica Minolta Business Solutions Norway AS"/>
    <s v="Konica Minolta Business Solutions Norway AS"/>
    <n v="745"/>
    <x v="3"/>
  </r>
  <r>
    <x v="1"/>
    <x v="14"/>
    <x v="27"/>
    <x v="3"/>
    <n v="44594"/>
    <n v="2009428"/>
    <s v="Inngående faktura"/>
    <s v="Nets Branch Norway"/>
    <n v="395"/>
    <x v="3"/>
  </r>
  <r>
    <x v="1"/>
    <x v="14"/>
    <x v="27"/>
    <x v="3"/>
    <n v="44599"/>
    <n v="4000037"/>
    <s v="Konica Minolta Business Solutions Norway AS"/>
    <s v="Konica Minolta Business Solutions Norway AS"/>
    <n v="154.30000000000001"/>
    <x v="3"/>
  </r>
  <r>
    <x v="1"/>
    <x v="14"/>
    <x v="27"/>
    <x v="11"/>
    <n v="44622"/>
    <n v="2009476"/>
    <s v="Inngående faktura"/>
    <s v="Nets Branch Norway"/>
    <n v="395"/>
    <x v="3"/>
  </r>
  <r>
    <x v="1"/>
    <x v="14"/>
    <x v="27"/>
    <x v="5"/>
    <n v="44585"/>
    <n v="4000033"/>
    <s v="Techstep Norway AS"/>
    <s v="Techstep Norway AS"/>
    <n v="816"/>
    <x v="3"/>
  </r>
  <r>
    <x v="1"/>
    <x v="14"/>
    <x v="27"/>
    <x v="1"/>
    <n v="44746"/>
    <n v="2009644"/>
    <s v="Inngående faktura"/>
    <s v="Nets Branch Norway"/>
    <n v="395"/>
    <x v="3"/>
  </r>
  <r>
    <x v="1"/>
    <x v="14"/>
    <x v="27"/>
    <x v="8"/>
    <n v="44775"/>
    <n v="2009658"/>
    <s v="Inngående faktura"/>
    <s v="Nets Branch Norway"/>
    <n v="395"/>
    <x v="3"/>
  </r>
  <r>
    <x v="1"/>
    <x v="14"/>
    <x v="27"/>
    <x v="8"/>
    <n v="44778"/>
    <n v="4000393"/>
    <s v="Konica Minolta Business Solutions Norway AS"/>
    <s v="Konica Minolta Business Solutions Norway AS"/>
    <n v="185.69"/>
    <x v="3"/>
  </r>
  <r>
    <x v="1"/>
    <x v="14"/>
    <x v="27"/>
    <x v="8"/>
    <n v="44776"/>
    <n v="2009666"/>
    <s v="Inngående faktura"/>
    <s v="Nets Branch Norway"/>
    <n v="225"/>
    <x v="3"/>
  </r>
  <r>
    <x v="1"/>
    <x v="14"/>
    <x v="27"/>
    <x v="1"/>
    <n v="44747"/>
    <n v="2009645"/>
    <s v="Inngående faktura"/>
    <s v="Nets Branch Norway"/>
    <n v="225"/>
    <x v="3"/>
  </r>
  <r>
    <x v="1"/>
    <x v="14"/>
    <x v="27"/>
    <x v="1"/>
    <n v="44761"/>
    <n v="4000359"/>
    <s v="Konica Minolta Business Solutions Norway AS"/>
    <s v="Konica Minolta Business Solutions Norway AS"/>
    <n v="185.69"/>
    <x v="3"/>
  </r>
  <r>
    <x v="1"/>
    <x v="15"/>
    <x v="28"/>
    <x v="4"/>
    <n v="44681"/>
    <n v="4000196"/>
    <s v="Azets Insight AS"/>
    <s v="Azets Insight AS"/>
    <n v="11578.5"/>
    <x v="3"/>
  </r>
  <r>
    <x v="1"/>
    <x v="15"/>
    <x v="28"/>
    <x v="11"/>
    <n v="44651"/>
    <n v="4000140"/>
    <s v="Azets Insight AS"/>
    <s v="Azets Insight AS"/>
    <n v="12153.5"/>
    <x v="3"/>
  </r>
  <r>
    <x v="1"/>
    <x v="15"/>
    <x v="28"/>
    <x v="6"/>
    <n v="44926"/>
    <n v="4000720"/>
    <s v="Azets Insight AS"/>
    <s v="Azets Insight AS"/>
    <n v="11829.5"/>
    <x v="3"/>
  </r>
  <r>
    <x v="1"/>
    <x v="15"/>
    <x v="28"/>
    <x v="10"/>
    <n v="44865"/>
    <n v="4000613"/>
    <s v="Azets Insight AS"/>
    <s v="Azets Insight AS"/>
    <n v="11886"/>
    <x v="3"/>
  </r>
  <r>
    <x v="1"/>
    <x v="15"/>
    <x v="28"/>
    <x v="9"/>
    <n v="44895"/>
    <n v="4000677"/>
    <s v="Azets Insight AS"/>
    <s v="Azets Insight AS"/>
    <n v="11813.5"/>
    <x v="3"/>
  </r>
  <r>
    <x v="1"/>
    <x v="15"/>
    <x v="28"/>
    <x v="0"/>
    <n v="44712"/>
    <n v="4000242"/>
    <s v="Azets Insight AS"/>
    <s v="Azets Insight AS"/>
    <n v="13887"/>
    <x v="3"/>
  </r>
  <r>
    <x v="1"/>
    <x v="15"/>
    <x v="28"/>
    <x v="2"/>
    <n v="44742"/>
    <n v="4000335"/>
    <s v="Azets Insight AS"/>
    <s v="Azets Insight AS"/>
    <n v="11826.5"/>
    <x v="3"/>
  </r>
  <r>
    <x v="1"/>
    <x v="15"/>
    <x v="28"/>
    <x v="8"/>
    <n v="44804"/>
    <n v="4000460"/>
    <s v="Azets Insight AS"/>
    <s v="Azets Insight AS"/>
    <n v="11522"/>
    <x v="3"/>
  </r>
  <r>
    <x v="1"/>
    <x v="15"/>
    <x v="28"/>
    <x v="1"/>
    <n v="44773"/>
    <n v="4000395"/>
    <s v="Azets Insight AS"/>
    <s v="Azets Insight AS"/>
    <n v="12038"/>
    <x v="3"/>
  </r>
  <r>
    <x v="1"/>
    <x v="15"/>
    <x v="28"/>
    <x v="5"/>
    <n v="44592"/>
    <n v="4000045"/>
    <s v="Azets Insight AS"/>
    <s v="Azets Insight AS"/>
    <n v="11999.5"/>
    <x v="3"/>
  </r>
  <r>
    <x v="1"/>
    <x v="15"/>
    <x v="28"/>
    <x v="3"/>
    <n v="44620"/>
    <n v="4000078"/>
    <s v="Azets Insight AS"/>
    <s v="Azets Insight AS"/>
    <n v="11440"/>
    <x v="3"/>
  </r>
  <r>
    <x v="1"/>
    <x v="15"/>
    <x v="28"/>
    <x v="7"/>
    <n v="44834"/>
    <n v="4000533"/>
    <s v="Azets Insight AS"/>
    <s v="Azets Insight AS"/>
    <n v="11503"/>
    <x v="3"/>
  </r>
  <r>
    <x v="1"/>
    <x v="15"/>
    <x v="29"/>
    <x v="2"/>
    <n v="44739"/>
    <n v="2009643"/>
    <s v="Inngående faktura"/>
    <s v="Sector Alarm AS"/>
    <n v="8472.7999999999993"/>
    <x v="3"/>
  </r>
  <r>
    <x v="1"/>
    <x v="15"/>
    <x v="30"/>
    <x v="6"/>
    <n v="44926"/>
    <n v="4000738"/>
    <s v="REVISORHUSET AS"/>
    <s v="Revisorhuset AS"/>
    <n v="8000"/>
    <x v="3"/>
  </r>
  <r>
    <x v="1"/>
    <x v="15"/>
    <x v="30"/>
    <x v="11"/>
    <n v="44621"/>
    <n v="2009469"/>
    <s v="Revisorhuset AS"/>
    <s v="Revisorhuset AS"/>
    <n v="22000"/>
    <x v="3"/>
  </r>
  <r>
    <x v="1"/>
    <x v="15"/>
    <x v="30"/>
    <x v="2"/>
    <n v="44742"/>
    <n v="4000337"/>
    <s v="REVISORHUSET AS"/>
    <s v="Revisorhuset AS"/>
    <n v="3950"/>
    <x v="3"/>
  </r>
  <r>
    <x v="1"/>
    <x v="15"/>
    <x v="31"/>
    <x v="8"/>
    <n v="44796"/>
    <n v="2009677"/>
    <s v="Inngående faktura"/>
    <s v="Lettfaktura"/>
    <n v="1548"/>
    <x v="3"/>
  </r>
  <r>
    <x v="1"/>
    <x v="15"/>
    <x v="31"/>
    <x v="9"/>
    <n v="44891"/>
    <n v="4000669"/>
    <s v="DIREKTE KOMPETANSE AS"/>
    <s v="Direkte Kompetanse AS"/>
    <n v="468"/>
    <x v="3"/>
  </r>
  <r>
    <x v="1"/>
    <x v="16"/>
    <x v="32"/>
    <x v="9"/>
    <n v="44895"/>
    <n v="2009757"/>
    <s v="Inngående faktura"/>
    <s v="Hillesland as"/>
    <n v="63.2"/>
    <x v="3"/>
  </r>
  <r>
    <x v="1"/>
    <x v="16"/>
    <x v="32"/>
    <x v="6"/>
    <n v="44926"/>
    <n v="2009777"/>
    <s v="Inngående faktura"/>
    <s v="Hillesland as"/>
    <n v="52.8"/>
    <x v="3"/>
  </r>
  <r>
    <x v="1"/>
    <x v="16"/>
    <x v="32"/>
    <x v="10"/>
    <n v="44847"/>
    <n v="4000546"/>
    <s v="STORM PRISMERKING A.S"/>
    <s v="Storm Prismerking AS"/>
    <n v="610.5"/>
    <x v="3"/>
  </r>
  <r>
    <x v="1"/>
    <x v="16"/>
    <x v="32"/>
    <x v="9"/>
    <n v="44886"/>
    <n v="4000631"/>
    <s v="Konica Minolta Business Solutions Norway AS"/>
    <s v="Konica Minolta Business Solutions Norway AS"/>
    <n v="512.03"/>
    <x v="3"/>
  </r>
  <r>
    <x v="1"/>
    <x v="16"/>
    <x v="32"/>
    <x v="6"/>
    <n v="44910"/>
    <n v="2009764"/>
    <s v="Inngående faktura"/>
    <s v="Hillesland as"/>
    <n v="397.6"/>
    <x v="3"/>
  </r>
  <r>
    <x v="1"/>
    <x v="16"/>
    <x v="32"/>
    <x v="0"/>
    <n v="44687"/>
    <n v="4000193"/>
    <s v="Konica Minolta Business Solutions Norway AS"/>
    <s v="Konica Minolta Business Solutions Norway AS"/>
    <n v="-372.9"/>
    <x v="3"/>
  </r>
  <r>
    <x v="1"/>
    <x v="16"/>
    <x v="32"/>
    <x v="10"/>
    <n v="44865"/>
    <n v="2009734"/>
    <s v="Inngående faktura"/>
    <s v="Hillesland as"/>
    <n v="270.39999999999998"/>
    <x v="3"/>
  </r>
  <r>
    <x v="1"/>
    <x v="16"/>
    <x v="32"/>
    <x v="7"/>
    <n v="44818"/>
    <n v="4000474"/>
    <s v="Asko Rogaland As"/>
    <s v="Asko Rogaland"/>
    <n v="260.3"/>
    <x v="3"/>
  </r>
  <r>
    <x v="1"/>
    <x v="16"/>
    <x v="32"/>
    <x v="4"/>
    <n v="44673"/>
    <n v="4000161"/>
    <s v="Asko Rogaland As"/>
    <s v="Asko Rogaland"/>
    <n v="256.25"/>
    <x v="3"/>
  </r>
  <r>
    <x v="1"/>
    <x v="16"/>
    <x v="32"/>
    <x v="0"/>
    <n v="44687"/>
    <n v="4000193"/>
    <s v="Konica Minolta Business Solutions Norway AS"/>
    <s v="Konica Minolta Business Solutions Norway AS"/>
    <n v="372.9"/>
    <x v="3"/>
  </r>
  <r>
    <x v="1"/>
    <x v="16"/>
    <x v="32"/>
    <x v="3"/>
    <n v="44613"/>
    <n v="4000073"/>
    <s v="Konica Minolta Business Solutions Norway AS"/>
    <s v="Konica Minolta Business Solutions Norway AS"/>
    <n v="427.88"/>
    <x v="3"/>
  </r>
  <r>
    <x v="1"/>
    <x v="16"/>
    <x v="32"/>
    <x v="8"/>
    <n v="44788"/>
    <n v="4000412"/>
    <s v="Konica Minolta Business Solutions Norway AS"/>
    <s v="Konica Minolta Business Solutions Norway AS"/>
    <n v="421.33"/>
    <x v="3"/>
  </r>
  <r>
    <x v="1"/>
    <x v="16"/>
    <x v="32"/>
    <x v="2"/>
    <n v="44742"/>
    <n v="4000304"/>
    <s v="STORM PRISMERKING A.S"/>
    <s v="Storm Prismerking AS"/>
    <n v="590.5"/>
    <x v="3"/>
  </r>
  <r>
    <x v="1"/>
    <x v="16"/>
    <x v="32"/>
    <x v="2"/>
    <n v="44742"/>
    <n v="4000304"/>
    <s v="STORM PRISMERKING A.S"/>
    <s v="Storm Prismerking AS"/>
    <n v="-590.5"/>
    <x v="3"/>
  </r>
  <r>
    <x v="1"/>
    <x v="16"/>
    <x v="32"/>
    <x v="1"/>
    <n v="44757"/>
    <n v="4000354"/>
    <s v="Norengros Kjosavik AS"/>
    <s v="NorEngros Kjosavik AS"/>
    <n v="979.12"/>
    <x v="3"/>
  </r>
  <r>
    <x v="1"/>
    <x v="16"/>
    <x v="33"/>
    <x v="7"/>
    <n v="44818"/>
    <n v="2009699"/>
    <s v="FORLAGET LAST OG BUSS AS"/>
    <s v="Forlaget Last og Buss AS"/>
    <n v="820"/>
    <x v="3"/>
  </r>
  <r>
    <x v="1"/>
    <x v="16"/>
    <x v="33"/>
    <x v="6"/>
    <n v="44911"/>
    <n v="2009765"/>
    <s v="FORLAGET LAST OG BUSS AS"/>
    <s v="Forlaget Last og Buss AS"/>
    <n v="820"/>
    <x v="3"/>
  </r>
  <r>
    <x v="1"/>
    <x v="16"/>
    <x v="34"/>
    <x v="10"/>
    <n v="44848"/>
    <n v="4000542"/>
    <s v="Posten Norge AS"/>
    <s v="Posten Norge AS"/>
    <n v="63.2"/>
    <x v="3"/>
  </r>
  <r>
    <x v="1"/>
    <x v="16"/>
    <x v="34"/>
    <x v="2"/>
    <n v="44721"/>
    <n v="4000272"/>
    <s v="Posten Norge AS"/>
    <s v="Posten Norge AS"/>
    <n v="77.599999999999994"/>
    <x v="3"/>
  </r>
  <r>
    <x v="1"/>
    <x v="16"/>
    <x v="34"/>
    <x v="11"/>
    <n v="44631"/>
    <n v="4000097"/>
    <s v="Posten Norge AS"/>
    <s v="Posten Norge AS"/>
    <n v="63.2"/>
    <x v="3"/>
  </r>
  <r>
    <x v="1"/>
    <x v="17"/>
    <x v="35"/>
    <x v="7"/>
    <n v="44813"/>
    <n v="4000469"/>
    <s v="Telenor Norge AS"/>
    <s v="Telenor Norge AS"/>
    <n v="364"/>
    <x v="3"/>
  </r>
  <r>
    <x v="1"/>
    <x v="17"/>
    <x v="35"/>
    <x v="8"/>
    <n v="44781"/>
    <n v="4000401"/>
    <s v="Telenor Norge AS"/>
    <s v="Telenor Norge AS"/>
    <n v="364"/>
    <x v="3"/>
  </r>
  <r>
    <x v="1"/>
    <x v="17"/>
    <x v="35"/>
    <x v="8"/>
    <n v="44775"/>
    <n v="4000392"/>
    <s v="Telenor Norge AS"/>
    <s v="Telenor Norge AS"/>
    <n v="3274.93"/>
    <x v="3"/>
  </r>
  <r>
    <x v="1"/>
    <x v="17"/>
    <x v="35"/>
    <x v="10"/>
    <n v="44840"/>
    <n v="4000535"/>
    <s v="Telenor Norge AS"/>
    <s v="Telenor Norge AS"/>
    <n v="523.04"/>
    <x v="3"/>
  </r>
  <r>
    <x v="1"/>
    <x v="17"/>
    <x v="35"/>
    <x v="9"/>
    <n v="44873"/>
    <n v="4000608"/>
    <s v="Telenor Norge AS"/>
    <s v="Telenor Norge AS"/>
    <n v="543.83000000000004"/>
    <x v="3"/>
  </r>
  <r>
    <x v="1"/>
    <x v="17"/>
    <x v="35"/>
    <x v="9"/>
    <n v="44868"/>
    <n v="4000616"/>
    <s v="Telenor Norge AS"/>
    <s v="Telenor Norge AS"/>
    <n v="-699.17"/>
    <x v="3"/>
  </r>
  <r>
    <x v="1"/>
    <x v="17"/>
    <x v="35"/>
    <x v="0"/>
    <n v="44684"/>
    <n v="2009569"/>
    <s v="Telenor Norge AS"/>
    <s v="Telenor Norge AS"/>
    <n v="3257.18"/>
    <x v="3"/>
  </r>
  <r>
    <x v="1"/>
    <x v="17"/>
    <x v="35"/>
    <x v="0"/>
    <n v="44687"/>
    <n v="2009575"/>
    <s v="Telenor Norge AS"/>
    <s v="Telenor Norge AS"/>
    <n v="364"/>
    <x v="3"/>
  </r>
  <r>
    <x v="1"/>
    <x v="17"/>
    <x v="35"/>
    <x v="4"/>
    <n v="44658"/>
    <n v="2009541"/>
    <s v="Inngående faktura"/>
    <s v="Telenor Norge AS"/>
    <n v="364"/>
    <x v="3"/>
  </r>
  <r>
    <x v="1"/>
    <x v="17"/>
    <x v="35"/>
    <x v="1"/>
    <n v="44749"/>
    <n v="4000342"/>
    <s v="Telenor Norge AS"/>
    <s v="Telenor Norge AS"/>
    <n v="364"/>
    <x v="3"/>
  </r>
  <r>
    <x v="1"/>
    <x v="17"/>
    <x v="35"/>
    <x v="2"/>
    <n v="44721"/>
    <n v="2009610"/>
    <s v="Telenor Norge AS"/>
    <s v="Telenor Norge AS"/>
    <n v="364"/>
    <x v="3"/>
  </r>
  <r>
    <x v="1"/>
    <x v="17"/>
    <x v="35"/>
    <x v="5"/>
    <n v="44567"/>
    <n v="2009401"/>
    <s v="Telenor Norge AS"/>
    <s v="Telenor Norge AS"/>
    <n v="364"/>
    <x v="3"/>
  </r>
  <r>
    <x v="1"/>
    <x v="17"/>
    <x v="35"/>
    <x v="3"/>
    <n v="44600"/>
    <n v="2009443"/>
    <s v="Telenor Norge AS"/>
    <s v="Telenor Norge AS"/>
    <n v="364"/>
    <x v="3"/>
  </r>
  <r>
    <x v="1"/>
    <x v="17"/>
    <x v="35"/>
    <x v="3"/>
    <n v="44596"/>
    <n v="2009432"/>
    <s v="Telenor Norge AS"/>
    <s v="Telenor Norge AS"/>
    <n v="3177.11"/>
    <x v="3"/>
  </r>
  <r>
    <x v="1"/>
    <x v="17"/>
    <x v="35"/>
    <x v="11"/>
    <n v="44628"/>
    <n v="2009479"/>
    <s v="Telenor Norge AS"/>
    <s v="Telenor Norge AS"/>
    <n v="364"/>
    <x v="3"/>
  </r>
  <r>
    <x v="1"/>
    <x v="17"/>
    <x v="35"/>
    <x v="6"/>
    <n v="44900"/>
    <n v="4000652"/>
    <s v="Telenor Norge AS"/>
    <s v="Telenor Norge AS"/>
    <n v="612.76"/>
    <x v="3"/>
  </r>
  <r>
    <x v="1"/>
    <x v="18"/>
    <x v="36"/>
    <x v="8"/>
    <n v="44774"/>
    <n v="2009659"/>
    <s v="St1 Norge AS"/>
    <s v="Euroshellkort (St1 Norge AS)"/>
    <n v="1016.79"/>
    <x v="3"/>
  </r>
  <r>
    <x v="1"/>
    <x v="18"/>
    <x v="36"/>
    <x v="1"/>
    <n v="44762"/>
    <n v="2009667"/>
    <s v="Kontant/diverse"/>
    <s v=" "/>
    <n v="163.16"/>
    <x v="3"/>
  </r>
  <r>
    <x v="1"/>
    <x v="18"/>
    <x v="36"/>
    <x v="1"/>
    <n v="44750"/>
    <n v="2009667"/>
    <s v="Kontant/diverse"/>
    <s v=" "/>
    <n v="132.41999999999999"/>
    <x v="3"/>
  </r>
  <r>
    <x v="1"/>
    <x v="18"/>
    <x v="36"/>
    <x v="1"/>
    <n v="44754"/>
    <n v="2009667"/>
    <s v="Kontant/diverse"/>
    <s v=" "/>
    <n v="2402.1"/>
    <x v="3"/>
  </r>
  <r>
    <x v="1"/>
    <x v="18"/>
    <x v="36"/>
    <x v="1"/>
    <n v="44751"/>
    <n v="2009667"/>
    <s v="Kontant/diverse"/>
    <s v=" "/>
    <n v="2320.2600000000002"/>
    <x v="3"/>
  </r>
  <r>
    <x v="1"/>
    <x v="18"/>
    <x v="36"/>
    <x v="1"/>
    <n v="44748"/>
    <n v="2009667"/>
    <s v="Kontant/diverse"/>
    <s v=" "/>
    <n v="845.9"/>
    <x v="3"/>
  </r>
  <r>
    <x v="1"/>
    <x v="18"/>
    <x v="36"/>
    <x v="1"/>
    <n v="44747"/>
    <n v="2009667"/>
    <s v="Kontant/diverse"/>
    <s v=" "/>
    <n v="961.53"/>
    <x v="3"/>
  </r>
  <r>
    <x v="1"/>
    <x v="18"/>
    <x v="36"/>
    <x v="1"/>
    <n v="44750"/>
    <n v="2009667"/>
    <s v="Haugaland"/>
    <s v=" "/>
    <n v="13160.78"/>
    <x v="3"/>
  </r>
  <r>
    <x v="1"/>
    <x v="18"/>
    <x v="36"/>
    <x v="1"/>
    <n v="44762"/>
    <n v="2009667"/>
    <s v="Kontant/diverse"/>
    <s v=" "/>
    <n v="163.16"/>
    <x v="3"/>
  </r>
  <r>
    <x v="1"/>
    <x v="18"/>
    <x v="36"/>
    <x v="1"/>
    <n v="44754"/>
    <n v="2009667"/>
    <s v="Kontant/diverse"/>
    <s v=" "/>
    <n v="2402.1"/>
    <x v="3"/>
  </r>
  <r>
    <x v="1"/>
    <x v="18"/>
    <x v="36"/>
    <x v="1"/>
    <n v="44751"/>
    <n v="2009667"/>
    <s v="Kontant/diverse"/>
    <s v=" "/>
    <n v="2320.2600000000002"/>
    <x v="3"/>
  </r>
  <r>
    <x v="1"/>
    <x v="18"/>
    <x v="36"/>
    <x v="1"/>
    <n v="44750"/>
    <n v="2009667"/>
    <s v="Kontant/diverse"/>
    <s v=" "/>
    <n v="132.41999999999999"/>
    <x v="3"/>
  </r>
  <r>
    <x v="1"/>
    <x v="18"/>
    <x v="36"/>
    <x v="1"/>
    <n v="44750"/>
    <n v="2009667"/>
    <s v="Haugaland"/>
    <s v=" "/>
    <n v="13160.78"/>
    <x v="3"/>
  </r>
  <r>
    <x v="1"/>
    <x v="18"/>
    <x v="36"/>
    <x v="1"/>
    <n v="44748"/>
    <n v="2009667"/>
    <s v="Kontant/diverse"/>
    <s v=" "/>
    <n v="845.9"/>
    <x v="3"/>
  </r>
  <r>
    <x v="1"/>
    <x v="18"/>
    <x v="36"/>
    <x v="1"/>
    <n v="44747"/>
    <n v="2009667"/>
    <s v="Kontant/diverse"/>
    <s v=" "/>
    <n v="961.53"/>
    <x v="3"/>
  </r>
  <r>
    <x v="1"/>
    <x v="18"/>
    <x v="36"/>
    <x v="8"/>
    <n v="44774"/>
    <n v="2009659"/>
    <s v="St1 Norge AS"/>
    <s v="Euroshellkort (St1 Norge AS)"/>
    <n v="-1016.79"/>
    <x v="3"/>
  </r>
  <r>
    <x v="1"/>
    <x v="18"/>
    <x v="36"/>
    <x v="1"/>
    <n v="44762"/>
    <n v="2009667"/>
    <s v="Kontant/diverse"/>
    <s v=" "/>
    <n v="-163.16"/>
    <x v="3"/>
  </r>
  <r>
    <x v="1"/>
    <x v="18"/>
    <x v="36"/>
    <x v="1"/>
    <n v="44750"/>
    <n v="2009667"/>
    <s v="Kontant/diverse"/>
    <s v=" "/>
    <n v="-132.41999999999999"/>
    <x v="3"/>
  </r>
  <r>
    <x v="1"/>
    <x v="18"/>
    <x v="36"/>
    <x v="1"/>
    <n v="44754"/>
    <n v="2009667"/>
    <s v="Kontant/diverse"/>
    <s v=" "/>
    <n v="-2402.1"/>
    <x v="3"/>
  </r>
  <r>
    <x v="1"/>
    <x v="18"/>
    <x v="36"/>
    <x v="1"/>
    <n v="44751"/>
    <n v="2009667"/>
    <s v="Kontant/diverse"/>
    <s v=" "/>
    <n v="-2320.2600000000002"/>
    <x v="3"/>
  </r>
  <r>
    <x v="1"/>
    <x v="18"/>
    <x v="36"/>
    <x v="1"/>
    <n v="44748"/>
    <n v="2009667"/>
    <s v="Kontant/diverse"/>
    <s v=" "/>
    <n v="-845.9"/>
    <x v="3"/>
  </r>
  <r>
    <x v="1"/>
    <x v="18"/>
    <x v="36"/>
    <x v="1"/>
    <n v="44747"/>
    <n v="2009667"/>
    <s v="Kontant/diverse"/>
    <s v=" "/>
    <n v="-961.53"/>
    <x v="3"/>
  </r>
  <r>
    <x v="1"/>
    <x v="18"/>
    <x v="36"/>
    <x v="1"/>
    <n v="44750"/>
    <n v="2009667"/>
    <s v="Haugaland"/>
    <s v=" "/>
    <n v="-13160.78"/>
    <x v="3"/>
  </r>
  <r>
    <x v="1"/>
    <x v="18"/>
    <x v="36"/>
    <x v="1"/>
    <n v="44762"/>
    <n v="2009667"/>
    <s v="Kontant/diverse"/>
    <s v=" "/>
    <n v="-163.16"/>
    <x v="3"/>
  </r>
  <r>
    <x v="1"/>
    <x v="18"/>
    <x v="36"/>
    <x v="1"/>
    <n v="44754"/>
    <n v="2009667"/>
    <s v="Kontant/diverse"/>
    <s v=" "/>
    <n v="-2402.1"/>
    <x v="3"/>
  </r>
  <r>
    <x v="1"/>
    <x v="18"/>
    <x v="36"/>
    <x v="1"/>
    <n v="44751"/>
    <n v="2009667"/>
    <s v="Kontant/diverse"/>
    <s v=" "/>
    <n v="-2320.2600000000002"/>
    <x v="3"/>
  </r>
  <r>
    <x v="1"/>
    <x v="18"/>
    <x v="36"/>
    <x v="1"/>
    <n v="44750"/>
    <n v="2009667"/>
    <s v="Kontant/diverse"/>
    <s v=" "/>
    <n v="-132.41999999999999"/>
    <x v="3"/>
  </r>
  <r>
    <x v="1"/>
    <x v="18"/>
    <x v="36"/>
    <x v="1"/>
    <n v="44750"/>
    <n v="2009667"/>
    <s v="Haugaland"/>
    <s v=" "/>
    <n v="-13160.78"/>
    <x v="3"/>
  </r>
  <r>
    <x v="1"/>
    <x v="18"/>
    <x v="36"/>
    <x v="1"/>
    <n v="44748"/>
    <n v="2009667"/>
    <s v="Kontant/diverse"/>
    <s v=" "/>
    <n v="-845.9"/>
    <x v="3"/>
  </r>
  <r>
    <x v="1"/>
    <x v="18"/>
    <x v="36"/>
    <x v="1"/>
    <n v="44747"/>
    <n v="2009667"/>
    <s v="Kontant/diverse"/>
    <s v=" "/>
    <n v="-961.53"/>
    <x v="3"/>
  </r>
  <r>
    <x v="1"/>
    <x v="18"/>
    <x v="36"/>
    <x v="10"/>
    <n v="44835"/>
    <n v="2009708"/>
    <s v="St1 Norge AS"/>
    <s v="Euroshellkort (St1 Norge AS)"/>
    <n v="3307.74"/>
    <x v="3"/>
  </r>
  <r>
    <x v="1"/>
    <x v="18"/>
    <x v="36"/>
    <x v="10"/>
    <n v="44835"/>
    <n v="2009708"/>
    <s v="St1 Norge AS"/>
    <s v="Euroshellkort (St1 Norge AS)"/>
    <n v="-3307.74"/>
    <x v="3"/>
  </r>
  <r>
    <x v="1"/>
    <x v="18"/>
    <x v="37"/>
    <x v="1"/>
    <n v="44748"/>
    <n v="2009667"/>
    <s v="Kontant/diverse"/>
    <s v=" "/>
    <n v="-845.9"/>
    <x v="3"/>
  </r>
  <r>
    <x v="1"/>
    <x v="18"/>
    <x v="37"/>
    <x v="1"/>
    <n v="44747"/>
    <n v="2009667"/>
    <s v="Kontant/diverse"/>
    <s v=" "/>
    <n v="-961.53"/>
    <x v="3"/>
  </r>
  <r>
    <x v="1"/>
    <x v="18"/>
    <x v="37"/>
    <x v="1"/>
    <n v="44762"/>
    <n v="2009667"/>
    <s v="Kontant/diverse"/>
    <s v=" "/>
    <n v="-163.16"/>
    <x v="3"/>
  </r>
  <r>
    <x v="1"/>
    <x v="18"/>
    <x v="37"/>
    <x v="1"/>
    <n v="44754"/>
    <n v="2009667"/>
    <s v="Kontant/diverse"/>
    <s v=" "/>
    <n v="-2402.1"/>
    <x v="3"/>
  </r>
  <r>
    <x v="1"/>
    <x v="18"/>
    <x v="37"/>
    <x v="1"/>
    <n v="44751"/>
    <n v="2009667"/>
    <s v="Kontant/diverse"/>
    <s v=" "/>
    <n v="-2320.2600000000002"/>
    <x v="3"/>
  </r>
  <r>
    <x v="1"/>
    <x v="18"/>
    <x v="37"/>
    <x v="1"/>
    <n v="44750"/>
    <n v="2009667"/>
    <s v="Kontant/diverse"/>
    <s v=" "/>
    <n v="-132.41999999999999"/>
    <x v="3"/>
  </r>
  <r>
    <x v="1"/>
    <x v="18"/>
    <x v="37"/>
    <x v="1"/>
    <n v="44750"/>
    <n v="2009667"/>
    <s v="Kontant/diverse"/>
    <s v=" "/>
    <n v="-13160.78"/>
    <x v="3"/>
  </r>
  <r>
    <x v="1"/>
    <x v="18"/>
    <x v="37"/>
    <x v="1"/>
    <n v="44762"/>
    <n v="2009667"/>
    <s v="Kontant/diverse"/>
    <s v=" "/>
    <n v="163.16"/>
    <x v="3"/>
  </r>
  <r>
    <x v="1"/>
    <x v="18"/>
    <x v="37"/>
    <x v="1"/>
    <n v="44754"/>
    <n v="2009667"/>
    <s v="Kontant/diverse"/>
    <s v=" "/>
    <n v="2402.1"/>
    <x v="3"/>
  </r>
  <r>
    <x v="1"/>
    <x v="18"/>
    <x v="37"/>
    <x v="1"/>
    <n v="44751"/>
    <n v="2009667"/>
    <s v="Kontant/diverse"/>
    <s v=" "/>
    <n v="2320.2600000000002"/>
    <x v="3"/>
  </r>
  <r>
    <x v="1"/>
    <x v="18"/>
    <x v="37"/>
    <x v="1"/>
    <n v="44750"/>
    <n v="2009667"/>
    <s v="Kontant/diverse"/>
    <s v=" "/>
    <n v="132.41999999999999"/>
    <x v="3"/>
  </r>
  <r>
    <x v="1"/>
    <x v="18"/>
    <x v="37"/>
    <x v="1"/>
    <n v="44750"/>
    <n v="2009667"/>
    <s v="Kontant/diverse"/>
    <s v=" "/>
    <n v="13160.78"/>
    <x v="3"/>
  </r>
  <r>
    <x v="1"/>
    <x v="18"/>
    <x v="37"/>
    <x v="1"/>
    <n v="44748"/>
    <n v="2009667"/>
    <s v="Kontant/diverse"/>
    <s v=" "/>
    <n v="845.9"/>
    <x v="3"/>
  </r>
  <r>
    <x v="1"/>
    <x v="18"/>
    <x v="37"/>
    <x v="1"/>
    <n v="44747"/>
    <n v="2009667"/>
    <s v="Kontant/diverse"/>
    <s v=" "/>
    <n v="961.53"/>
    <x v="3"/>
  </r>
  <r>
    <x v="1"/>
    <x v="18"/>
    <x v="37"/>
    <x v="6"/>
    <n v="44921"/>
    <n v="2009783"/>
    <s v="Kontant/diverse"/>
    <s v=" "/>
    <n v="-845.66"/>
    <x v="3"/>
  </r>
  <r>
    <x v="1"/>
    <x v="18"/>
    <x v="37"/>
    <x v="6"/>
    <n v="44914"/>
    <n v="2009783"/>
    <s v="Kontant/diverse"/>
    <s v=" "/>
    <n v="-706.89"/>
    <x v="3"/>
  </r>
  <r>
    <x v="1"/>
    <x v="18"/>
    <x v="37"/>
    <x v="6"/>
    <n v="44901"/>
    <n v="2009783"/>
    <s v="Kontant/diverse"/>
    <s v=" "/>
    <n v="-745.35"/>
    <x v="3"/>
  </r>
  <r>
    <x v="1"/>
    <x v="18"/>
    <x v="37"/>
    <x v="6"/>
    <n v="44917"/>
    <n v="2009783"/>
    <s v="Kontant/diverse"/>
    <s v=" "/>
    <n v="-855.19"/>
    <x v="3"/>
  </r>
  <r>
    <x v="1"/>
    <x v="18"/>
    <x v="37"/>
    <x v="6"/>
    <n v="44924"/>
    <n v="2009783"/>
    <s v="Kontant/diverse"/>
    <s v=" "/>
    <n v="-8516.7999999999993"/>
    <x v="3"/>
  </r>
  <r>
    <x v="1"/>
    <x v="18"/>
    <x v="37"/>
    <x v="6"/>
    <n v="44921"/>
    <n v="2009783"/>
    <s v="Kontant/diverse"/>
    <s v=" "/>
    <n v="845.66"/>
    <x v="3"/>
  </r>
  <r>
    <x v="1"/>
    <x v="18"/>
    <x v="37"/>
    <x v="6"/>
    <n v="44914"/>
    <n v="2009783"/>
    <s v="Kontant/diverse"/>
    <s v=" "/>
    <n v="706.89"/>
    <x v="3"/>
  </r>
  <r>
    <x v="1"/>
    <x v="18"/>
    <x v="37"/>
    <x v="6"/>
    <n v="44901"/>
    <n v="2009783"/>
    <s v="Kontant/diverse"/>
    <s v=" "/>
    <n v="745.35"/>
    <x v="3"/>
  </r>
  <r>
    <x v="1"/>
    <x v="18"/>
    <x v="37"/>
    <x v="6"/>
    <n v="44917"/>
    <n v="2009783"/>
    <s v="Kontant/diverse"/>
    <s v=" "/>
    <n v="855.19"/>
    <x v="3"/>
  </r>
  <r>
    <x v="1"/>
    <x v="18"/>
    <x v="37"/>
    <x v="6"/>
    <n v="44924"/>
    <n v="2009783"/>
    <s v="Kontant/diverse"/>
    <s v=" "/>
    <n v="8516.7999999999993"/>
    <x v="3"/>
  </r>
  <r>
    <x v="1"/>
    <x v="18"/>
    <x v="38"/>
    <x v="6"/>
    <n v="44902"/>
    <n v="4000681"/>
    <s v="Bilgummilageret AS"/>
    <s v="Bilgummilageret  AS"/>
    <n v="920"/>
    <x v="3"/>
  </r>
  <r>
    <x v="1"/>
    <x v="18"/>
    <x v="38"/>
    <x v="8"/>
    <n v="44774"/>
    <n v="2009659"/>
    <s v="St1 Norge AS"/>
    <s v="Euroshellkort (St1 Norge AS)"/>
    <n v="1180"/>
    <x v="3"/>
  </r>
  <r>
    <x v="1"/>
    <x v="18"/>
    <x v="38"/>
    <x v="8"/>
    <n v="44774"/>
    <n v="2009659"/>
    <s v="St1 Norge AS"/>
    <s v="Euroshellkort (St1 Norge AS)"/>
    <n v="-1180"/>
    <x v="3"/>
  </r>
  <r>
    <x v="1"/>
    <x v="18"/>
    <x v="38"/>
    <x v="10"/>
    <n v="44835"/>
    <n v="2009708"/>
    <s v="St1 Norge AS"/>
    <s v="Euroshellkort (St1 Norge AS)"/>
    <n v="1296.8"/>
    <x v="3"/>
  </r>
  <r>
    <x v="1"/>
    <x v="18"/>
    <x v="38"/>
    <x v="10"/>
    <n v="44835"/>
    <n v="2009708"/>
    <s v="St1 Norge AS"/>
    <s v="Euroshellkort (St1 Norge AS)"/>
    <n v="-1296.8"/>
    <x v="3"/>
  </r>
  <r>
    <x v="1"/>
    <x v="18"/>
    <x v="39"/>
    <x v="11"/>
    <n v="44650"/>
    <n v="2009525"/>
    <s v="Flyt AS"/>
    <s v="Flyt AS"/>
    <n v="806.42"/>
    <x v="3"/>
  </r>
  <r>
    <x v="1"/>
    <x v="18"/>
    <x v="39"/>
    <x v="0"/>
    <n v="44682"/>
    <n v="2009560"/>
    <s v="Flyt AS"/>
    <s v="Flyt AS"/>
    <n v="667.2"/>
    <x v="3"/>
  </r>
  <r>
    <x v="1"/>
    <x v="18"/>
    <x v="39"/>
    <x v="0"/>
    <n v="44712"/>
    <n v="2009597"/>
    <s v="Flyt AS"/>
    <s v="Flyt AS"/>
    <n v="403.2"/>
    <x v="3"/>
  </r>
  <r>
    <x v="1"/>
    <x v="18"/>
    <x v="39"/>
    <x v="3"/>
    <n v="44620"/>
    <n v="2009465"/>
    <s v="Flyt AS"/>
    <s v="Flyt AS"/>
    <n v="772.81"/>
    <x v="3"/>
  </r>
  <r>
    <x v="1"/>
    <x v="18"/>
    <x v="39"/>
    <x v="5"/>
    <n v="44588"/>
    <n v="2009418"/>
    <s v="Flyt AS"/>
    <s v="Flyt AS"/>
    <n v="427.21"/>
    <x v="3"/>
  </r>
  <r>
    <x v="1"/>
    <x v="19"/>
    <x v="40"/>
    <x v="9"/>
    <n v="44895"/>
    <n v="4000671"/>
    <s v="Flyt AS"/>
    <s v="Flyt AS"/>
    <n v="396.8"/>
    <x v="3"/>
  </r>
  <r>
    <x v="1"/>
    <x v="19"/>
    <x v="40"/>
    <x v="9"/>
    <n v="44895"/>
    <n v="4000671"/>
    <s v="Flyt AS"/>
    <s v="Flyt AS"/>
    <n v="314.99"/>
    <x v="3"/>
  </r>
  <r>
    <x v="1"/>
    <x v="19"/>
    <x v="40"/>
    <x v="2"/>
    <n v="44742"/>
    <n v="4000317"/>
    <s v="Flyt AS"/>
    <s v="Flyt AS"/>
    <n v="1490.36"/>
    <x v="3"/>
  </r>
  <r>
    <x v="1"/>
    <x v="19"/>
    <x v="40"/>
    <x v="2"/>
    <n v="44742"/>
    <n v="4000317"/>
    <s v="Flyt AS"/>
    <s v="Flyt AS"/>
    <n v="987.2"/>
    <x v="3"/>
  </r>
  <r>
    <x v="1"/>
    <x v="19"/>
    <x v="40"/>
    <x v="1"/>
    <n v="44772"/>
    <n v="4000379"/>
    <s v="Flyt AS"/>
    <s v="Flyt AS"/>
    <n v="408"/>
    <x v="3"/>
  </r>
  <r>
    <x v="1"/>
    <x v="19"/>
    <x v="40"/>
    <x v="8"/>
    <n v="44802"/>
    <n v="4000431"/>
    <s v="Flyt AS"/>
    <s v="Flyt AS"/>
    <n v="1026.8"/>
    <x v="3"/>
  </r>
  <r>
    <x v="1"/>
    <x v="19"/>
    <x v="40"/>
    <x v="8"/>
    <n v="44802"/>
    <n v="4000431"/>
    <s v="Flyt AS"/>
    <s v="Flyt AS"/>
    <n v="1416.58"/>
    <x v="3"/>
  </r>
  <r>
    <x v="1"/>
    <x v="19"/>
    <x v="40"/>
    <x v="10"/>
    <n v="44862"/>
    <n v="4000579"/>
    <s v="Flyt AS"/>
    <s v="Flyt AS"/>
    <n v="432"/>
    <x v="3"/>
  </r>
  <r>
    <x v="1"/>
    <x v="19"/>
    <x v="40"/>
    <x v="7"/>
    <n v="44832"/>
    <n v="4000505"/>
    <s v="Flyt AS"/>
    <s v="Flyt AS"/>
    <n v="701.97"/>
    <x v="3"/>
  </r>
  <r>
    <x v="1"/>
    <x v="19"/>
    <x v="40"/>
    <x v="7"/>
    <n v="44832"/>
    <n v="4000505"/>
    <s v="Flyt AS"/>
    <s v="Flyt AS"/>
    <n v="834.8"/>
    <x v="3"/>
  </r>
  <r>
    <x v="1"/>
    <x v="19"/>
    <x v="40"/>
    <x v="7"/>
    <n v="44832"/>
    <n v="4000505"/>
    <s v="Flyt AS"/>
    <s v="Flyt AS"/>
    <n v="-701.97"/>
    <x v="3"/>
  </r>
  <r>
    <x v="1"/>
    <x v="19"/>
    <x v="40"/>
    <x v="7"/>
    <n v="44832"/>
    <n v="4000505"/>
    <s v="Flyt AS"/>
    <s v="Flyt AS"/>
    <n v="-834.8"/>
    <x v="3"/>
  </r>
  <r>
    <x v="1"/>
    <x v="19"/>
    <x v="40"/>
    <x v="7"/>
    <n v="44832"/>
    <n v="4000505"/>
    <s v="Inngående faktura"/>
    <s v="Flyt AS"/>
    <n v="834.8"/>
    <x v="3"/>
  </r>
  <r>
    <x v="1"/>
    <x v="19"/>
    <x v="40"/>
    <x v="7"/>
    <n v="44832"/>
    <n v="4000505"/>
    <s v="Inngående faktura"/>
    <s v="Flyt AS"/>
    <n v="626.79"/>
    <x v="3"/>
  </r>
  <r>
    <x v="1"/>
    <x v="19"/>
    <x v="41"/>
    <x v="0"/>
    <n v="44704"/>
    <n v="2291"/>
    <s v="scandic - sfl + shellmøte"/>
    <s v=" "/>
    <n v="3044"/>
    <x v="3"/>
  </r>
  <r>
    <x v="1"/>
    <x v="19"/>
    <x v="42"/>
    <x v="4"/>
    <n v="44671"/>
    <n v="2280"/>
    <s v="SAS"/>
    <s v=" "/>
    <n v="993.75"/>
    <x v="3"/>
  </r>
  <r>
    <x v="1"/>
    <x v="19"/>
    <x v="43"/>
    <x v="0"/>
    <n v="44682"/>
    <n v="2009560"/>
    <s v="Flyt AS"/>
    <s v="Flyt AS"/>
    <n v="208.93"/>
    <x v="3"/>
  </r>
  <r>
    <x v="1"/>
    <x v="19"/>
    <x v="43"/>
    <x v="11"/>
    <n v="44650"/>
    <n v="2009525"/>
    <s v="Flyt AS"/>
    <s v="Flyt AS"/>
    <n v="417.84"/>
    <x v="3"/>
  </r>
  <r>
    <x v="1"/>
    <x v="19"/>
    <x v="43"/>
    <x v="3"/>
    <n v="44620"/>
    <n v="2009465"/>
    <s v="Flyt AS"/>
    <s v="Flyt AS"/>
    <n v="208.92"/>
    <x v="3"/>
  </r>
  <r>
    <x v="1"/>
    <x v="19"/>
    <x v="43"/>
    <x v="5"/>
    <n v="44588"/>
    <n v="2009418"/>
    <s v="Flyt AS"/>
    <s v="Flyt AS"/>
    <n v="208.92"/>
    <x v="3"/>
  </r>
  <r>
    <x v="1"/>
    <x v="20"/>
    <x v="44"/>
    <x v="7"/>
    <n v="44805"/>
    <n v="4000447"/>
    <s v="LINK Mobility AS"/>
    <s v="Link Mobility AS"/>
    <n v="105.23"/>
    <x v="3"/>
  </r>
  <r>
    <x v="1"/>
    <x v="20"/>
    <x v="44"/>
    <x v="9"/>
    <n v="44866"/>
    <n v="4000612"/>
    <s v="LINK Mobility AS"/>
    <s v="Link Mobility AS"/>
    <n v="103.46"/>
    <x v="3"/>
  </r>
  <r>
    <x v="1"/>
    <x v="20"/>
    <x v="44"/>
    <x v="0"/>
    <n v="44697"/>
    <n v="2009589"/>
    <s v="Aski Arbeid og Inkludering AS"/>
    <s v="Aski Arbeid og Inkludering AS"/>
    <n v="2340"/>
    <x v="3"/>
  </r>
  <r>
    <x v="1"/>
    <x v="20"/>
    <x v="44"/>
    <x v="7"/>
    <n v="44816"/>
    <n v="2009694"/>
    <s v="Inngående faktura"/>
    <s v="Ide Totaltrykk AS"/>
    <n v="1180"/>
    <x v="3"/>
  </r>
  <r>
    <x v="1"/>
    <x v="20"/>
    <x v="44"/>
    <x v="6"/>
    <n v="44924"/>
    <n v="4000711"/>
    <s v="INVOLVE! PRO-X AS"/>
    <s v="Involve! Pro-X AS"/>
    <n v="180"/>
    <x v="3"/>
  </r>
  <r>
    <x v="1"/>
    <x v="20"/>
    <x v="44"/>
    <x v="6"/>
    <n v="44896"/>
    <n v="4000672"/>
    <s v="LINK Mobility AS"/>
    <s v="Link Mobility AS"/>
    <n v="104.03"/>
    <x v="3"/>
  </r>
  <r>
    <x v="1"/>
    <x v="20"/>
    <x v="44"/>
    <x v="6"/>
    <n v="44896"/>
    <n v="4000653"/>
    <s v="FK Haugesund AS"/>
    <s v="Fk Haugesund AS"/>
    <n v="695"/>
    <x v="3"/>
  </r>
  <r>
    <x v="1"/>
    <x v="20"/>
    <x v="44"/>
    <x v="10"/>
    <n v="44835"/>
    <n v="4000537"/>
    <s v="LINK Mobility AS"/>
    <s v="Link Mobility AS"/>
    <n v="104.31"/>
    <x v="3"/>
  </r>
  <r>
    <x v="1"/>
    <x v="20"/>
    <x v="44"/>
    <x v="2"/>
    <n v="44713"/>
    <n v="2009606"/>
    <s v="Inngående faktura"/>
    <s v="Link Mobility AS"/>
    <n v="103.45"/>
    <x v="3"/>
  </r>
  <r>
    <x v="1"/>
    <x v="20"/>
    <x v="44"/>
    <x v="4"/>
    <n v="44662"/>
    <n v="4000154"/>
    <s v="FK Haugesund AS"/>
    <s v="Fk Haugesund AS"/>
    <n v="16000"/>
    <x v="3"/>
  </r>
  <r>
    <x v="1"/>
    <x v="20"/>
    <x v="44"/>
    <x v="4"/>
    <n v="44662"/>
    <n v="4000154"/>
    <s v="FK Haugesund AS"/>
    <s v="Fk Haugesund AS"/>
    <n v="3584"/>
    <x v="3"/>
  </r>
  <r>
    <x v="1"/>
    <x v="20"/>
    <x v="44"/>
    <x v="0"/>
    <n v="44682"/>
    <n v="2009567"/>
    <s v="LINK Mobility AS"/>
    <s v="Link Mobility AS"/>
    <n v="105.66"/>
    <x v="3"/>
  </r>
  <r>
    <x v="1"/>
    <x v="20"/>
    <x v="44"/>
    <x v="5"/>
    <n v="44562"/>
    <n v="2009375"/>
    <s v="LINK Mobility AS"/>
    <s v="Link Mobility AS"/>
    <n v="103.84"/>
    <x v="3"/>
  </r>
  <r>
    <x v="1"/>
    <x v="20"/>
    <x v="44"/>
    <x v="3"/>
    <n v="44593"/>
    <n v="2009436"/>
    <s v="LINK Mobility AS"/>
    <s v="Link Mobility AS"/>
    <n v="103"/>
    <x v="3"/>
  </r>
  <r>
    <x v="1"/>
    <x v="20"/>
    <x v="44"/>
    <x v="11"/>
    <n v="44630"/>
    <n v="4000096"/>
    <s v="FK Haugesund AS"/>
    <s v="Fk Haugesund AS"/>
    <n v="6000"/>
    <x v="3"/>
  </r>
  <r>
    <x v="1"/>
    <x v="20"/>
    <x v="44"/>
    <x v="11"/>
    <n v="44621"/>
    <n v="2009473"/>
    <s v="LINK Mobility AS"/>
    <s v="Link Mobility AS"/>
    <n v="103.84"/>
    <x v="3"/>
  </r>
  <r>
    <x v="1"/>
    <x v="20"/>
    <x v="44"/>
    <x v="5"/>
    <n v="44586"/>
    <n v="4000024"/>
    <s v="FK Haugesund AS"/>
    <s v="Fk Haugesund AS"/>
    <n v="50000"/>
    <x v="3"/>
  </r>
  <r>
    <x v="1"/>
    <x v="20"/>
    <x v="44"/>
    <x v="4"/>
    <n v="44652"/>
    <n v="2009532"/>
    <s v="Link Mobility AS"/>
    <s v="Link Mobility AS"/>
    <n v="103.84"/>
    <x v="3"/>
  </r>
  <r>
    <x v="1"/>
    <x v="20"/>
    <x v="44"/>
    <x v="2"/>
    <n v="44742"/>
    <n v="4000316"/>
    <s v="DITT GRAFISK AS"/>
    <s v="Ditt Grafisk AS"/>
    <n v="2145"/>
    <x v="3"/>
  </r>
  <r>
    <x v="1"/>
    <x v="20"/>
    <x v="44"/>
    <x v="1"/>
    <n v="44743"/>
    <n v="4000332"/>
    <s v="LINK Mobility AS"/>
    <s v="Link Mobility AS"/>
    <n v="103"/>
    <x v="3"/>
  </r>
  <r>
    <x v="1"/>
    <x v="20"/>
    <x v="44"/>
    <x v="8"/>
    <n v="44774"/>
    <n v="4000397"/>
    <s v="LINK Mobility AS"/>
    <s v="Link Mobility AS"/>
    <n v="105.38"/>
    <x v="3"/>
  </r>
  <r>
    <x v="1"/>
    <x v="20"/>
    <x v="45"/>
    <x v="11"/>
    <n v="44643"/>
    <n v="2009502"/>
    <s v="Inngående faktura"/>
    <s v="Kopervik Idrettslag"/>
    <n v="2500"/>
    <x v="3"/>
  </r>
  <r>
    <x v="1"/>
    <x v="20"/>
    <x v="45"/>
    <x v="4"/>
    <n v="44680"/>
    <n v="2009572"/>
    <s v="Skal ikke betales fordi: &quot;Denne er betalt&quot;"/>
    <s v="Kopervik Idrettslag"/>
    <n v="2500"/>
    <x v="3"/>
  </r>
  <r>
    <x v="1"/>
    <x v="20"/>
    <x v="45"/>
    <x v="0"/>
    <n v="44363"/>
    <n v="2009604"/>
    <s v="Inngående faktura"/>
    <s v="Kopervik Idrettslag"/>
    <n v="9000"/>
    <x v="3"/>
  </r>
  <r>
    <x v="1"/>
    <x v="1"/>
    <x v="46"/>
    <x v="7"/>
    <n v="44833"/>
    <n v="4000516"/>
    <s v="Gastroline AS"/>
    <s v="Gastroline AS"/>
    <n v="155"/>
    <x v="3"/>
  </r>
  <r>
    <x v="1"/>
    <x v="1"/>
    <x v="47"/>
    <x v="10"/>
    <n v="44851"/>
    <n v="4000563"/>
    <s v="Presto Brannteknikk AS"/>
    <s v="Presto Brannteknikk AS"/>
    <n v="3333"/>
    <x v="3"/>
  </r>
  <r>
    <x v="1"/>
    <x v="1"/>
    <x v="48"/>
    <x v="0"/>
    <n v="44706"/>
    <n v="2009596"/>
    <s v="Shellforhandlernes Landsforening"/>
    <s v="Shellforhandlernes Landsforening"/>
    <n v="4000"/>
    <x v="3"/>
  </r>
  <r>
    <x v="1"/>
    <x v="1"/>
    <x v="48"/>
    <x v="3"/>
    <n v="44613"/>
    <n v="4000074"/>
    <s v="Næringsforeningen Haugalandet"/>
    <s v="Næringsforeningen Haugalandet"/>
    <n v="2900"/>
    <x v="3"/>
  </r>
  <r>
    <x v="1"/>
    <x v="1"/>
    <x v="48"/>
    <x v="3"/>
    <n v="44594"/>
    <n v="4000031"/>
    <s v="Hovedorganisasjonen Virke"/>
    <s v="Hovedorganisasjonen Virke"/>
    <n v="-7300"/>
    <x v="3"/>
  </r>
  <r>
    <x v="1"/>
    <x v="1"/>
    <x v="48"/>
    <x v="3"/>
    <n v="44594"/>
    <n v="4000031"/>
    <s v="Hovedorganisasjonen Virke"/>
    <s v="Hovedorganisasjonen Virke"/>
    <n v="3850"/>
    <x v="3"/>
  </r>
  <r>
    <x v="1"/>
    <x v="1"/>
    <x v="48"/>
    <x v="3"/>
    <n v="44594"/>
    <n v="4000031"/>
    <s v="Hovedorganisasjonen Virke"/>
    <s v="Hovedorganisasjonen Virke"/>
    <n v="7300"/>
    <x v="3"/>
  </r>
  <r>
    <x v="1"/>
    <x v="1"/>
    <x v="49"/>
    <x v="0"/>
    <n v="44693"/>
    <n v="4000211"/>
    <s v="KARMØY NÆRINGSRÅD"/>
    <s v="Karmøy Næringsråd"/>
    <n v="1000"/>
    <x v="3"/>
  </r>
  <r>
    <x v="1"/>
    <x v="1"/>
    <x v="49"/>
    <x v="3"/>
    <n v="44594"/>
    <n v="4000031"/>
    <s v="Hovedorganisasjonen Virke"/>
    <s v="Hovedorganisasjonen Virke"/>
    <n v="3450"/>
    <x v="3"/>
  </r>
  <r>
    <x v="1"/>
    <x v="1"/>
    <x v="49"/>
    <x v="3"/>
    <n v="44613"/>
    <n v="4000074"/>
    <s v="Næringsforeningen Haugalandet"/>
    <s v="Næringsforeningen Haugalandet"/>
    <n v="400"/>
    <x v="3"/>
  </r>
  <r>
    <x v="1"/>
    <x v="1"/>
    <x v="1"/>
    <x v="8"/>
    <n v="44781"/>
    <n v="382590"/>
    <s v="8"/>
    <s v=" "/>
    <n v="0.39"/>
    <x v="3"/>
  </r>
  <r>
    <x v="1"/>
    <x v="1"/>
    <x v="1"/>
    <x v="8"/>
    <n v="44783"/>
    <n v="382592"/>
    <s v="10"/>
    <s v=" "/>
    <n v="0.51"/>
    <x v="3"/>
  </r>
  <r>
    <x v="1"/>
    <x v="1"/>
    <x v="1"/>
    <x v="8"/>
    <n v="44784"/>
    <n v="382593"/>
    <s v="11"/>
    <s v=" "/>
    <n v="0.26"/>
    <x v="3"/>
  </r>
  <r>
    <x v="1"/>
    <x v="1"/>
    <x v="1"/>
    <x v="8"/>
    <n v="44785"/>
    <n v="382594"/>
    <s v="12"/>
    <s v=" "/>
    <n v="0.65"/>
    <x v="3"/>
  </r>
  <r>
    <x v="1"/>
    <x v="1"/>
    <x v="1"/>
    <x v="8"/>
    <n v="44786"/>
    <n v="382595"/>
    <s v="13"/>
    <s v=" "/>
    <n v="-0.08"/>
    <x v="3"/>
  </r>
  <r>
    <x v="1"/>
    <x v="1"/>
    <x v="1"/>
    <x v="8"/>
    <n v="44787"/>
    <n v="382596"/>
    <s v="14"/>
    <s v=" "/>
    <n v="-0.04"/>
    <x v="3"/>
  </r>
  <r>
    <x v="1"/>
    <x v="1"/>
    <x v="1"/>
    <x v="7"/>
    <n v="44816"/>
    <n v="382657"/>
    <s v="12"/>
    <s v=" "/>
    <n v="0.23"/>
    <x v="3"/>
  </r>
  <r>
    <x v="1"/>
    <x v="1"/>
    <x v="1"/>
    <x v="7"/>
    <n v="44817"/>
    <n v="382658"/>
    <s v="13"/>
    <s v=" "/>
    <n v="0.24"/>
    <x v="3"/>
  </r>
  <r>
    <x v="1"/>
    <x v="1"/>
    <x v="1"/>
    <x v="7"/>
    <n v="44808"/>
    <n v="382649"/>
    <s v="4"/>
    <s v=" "/>
    <n v="0.46"/>
    <x v="3"/>
  </r>
  <r>
    <x v="1"/>
    <x v="1"/>
    <x v="1"/>
    <x v="7"/>
    <n v="44809"/>
    <n v="382650"/>
    <s v="5"/>
    <s v=" "/>
    <n v="0.77"/>
    <x v="3"/>
  </r>
  <r>
    <x v="1"/>
    <x v="1"/>
    <x v="1"/>
    <x v="7"/>
    <n v="44810"/>
    <n v="382651"/>
    <s v="6"/>
    <s v=" "/>
    <n v="0.18"/>
    <x v="3"/>
  </r>
  <r>
    <x v="1"/>
    <x v="1"/>
    <x v="1"/>
    <x v="7"/>
    <n v="44811"/>
    <n v="382652"/>
    <s v="7"/>
    <s v=" "/>
    <n v="0.19"/>
    <x v="3"/>
  </r>
  <r>
    <x v="1"/>
    <x v="1"/>
    <x v="1"/>
    <x v="7"/>
    <n v="44812"/>
    <n v="382653"/>
    <s v="8"/>
    <s v=" "/>
    <n v="0.13"/>
    <x v="3"/>
  </r>
  <r>
    <x v="1"/>
    <x v="1"/>
    <x v="1"/>
    <x v="7"/>
    <n v="44813"/>
    <n v="382654"/>
    <s v="9"/>
    <s v=" "/>
    <n v="0.66"/>
    <x v="3"/>
  </r>
  <r>
    <x v="1"/>
    <x v="1"/>
    <x v="1"/>
    <x v="7"/>
    <n v="44814"/>
    <n v="382655"/>
    <s v="10"/>
    <s v=" "/>
    <n v="0.54"/>
    <x v="3"/>
  </r>
  <r>
    <x v="1"/>
    <x v="1"/>
    <x v="1"/>
    <x v="7"/>
    <n v="44815"/>
    <n v="382656"/>
    <s v="11"/>
    <s v=" "/>
    <n v="0.81"/>
    <x v="3"/>
  </r>
  <r>
    <x v="1"/>
    <x v="1"/>
    <x v="1"/>
    <x v="8"/>
    <n v="44791"/>
    <n v="382622"/>
    <s v="18"/>
    <s v=" "/>
    <n v="0.43"/>
    <x v="3"/>
  </r>
  <r>
    <x v="1"/>
    <x v="1"/>
    <x v="1"/>
    <x v="8"/>
    <n v="44792"/>
    <n v="382612"/>
    <s v="19"/>
    <s v=" "/>
    <n v="0.18"/>
    <x v="3"/>
  </r>
  <r>
    <x v="1"/>
    <x v="1"/>
    <x v="1"/>
    <x v="8"/>
    <n v="44793"/>
    <n v="382613"/>
    <s v="20"/>
    <s v=" "/>
    <n v="-0.01"/>
    <x v="3"/>
  </r>
  <r>
    <x v="1"/>
    <x v="1"/>
    <x v="1"/>
    <x v="8"/>
    <n v="44794"/>
    <n v="382625"/>
    <s v="21"/>
    <s v=" "/>
    <n v="-0.49"/>
    <x v="3"/>
  </r>
  <r>
    <x v="1"/>
    <x v="1"/>
    <x v="1"/>
    <x v="8"/>
    <n v="44795"/>
    <n v="382615"/>
    <s v="22"/>
    <s v=" "/>
    <n v="0.35"/>
    <x v="3"/>
  </r>
  <r>
    <x v="1"/>
    <x v="1"/>
    <x v="1"/>
    <x v="7"/>
    <n v="44734"/>
    <n v="4000295"/>
    <s v="Korreksjon"/>
    <s v="Bladcentralen AS"/>
    <n v="-0.01"/>
    <x v="3"/>
  </r>
  <r>
    <x v="1"/>
    <x v="1"/>
    <x v="1"/>
    <x v="8"/>
    <n v="44804"/>
    <n v="700087"/>
    <s v="Avgiftsoppgave"/>
    <s v=" "/>
    <n v="-0.16"/>
    <x v="3"/>
  </r>
  <r>
    <x v="1"/>
    <x v="1"/>
    <x v="1"/>
    <x v="7"/>
    <n v="44818"/>
    <n v="382659"/>
    <s v="14"/>
    <s v=" "/>
    <n v="0.34"/>
    <x v="3"/>
  </r>
  <r>
    <x v="1"/>
    <x v="1"/>
    <x v="1"/>
    <x v="7"/>
    <n v="44819"/>
    <n v="382672"/>
    <s v="15"/>
    <s v="Bilagsnr 10 er brukt tidligere"/>
    <n v="0.37"/>
    <x v="3"/>
  </r>
  <r>
    <x v="1"/>
    <x v="1"/>
    <x v="1"/>
    <x v="7"/>
    <n v="44820"/>
    <n v="382673"/>
    <s v="16"/>
    <s v="Bilagsnr 10 er brukt tidligere"/>
    <n v="0.05"/>
    <x v="3"/>
  </r>
  <r>
    <x v="1"/>
    <x v="1"/>
    <x v="1"/>
    <x v="7"/>
    <n v="44821"/>
    <n v="382674"/>
    <s v="17"/>
    <s v="Bilagsnr 10 er brukt tidligere"/>
    <n v="0.34"/>
    <x v="3"/>
  </r>
  <r>
    <x v="1"/>
    <x v="1"/>
    <x v="1"/>
    <x v="7"/>
    <n v="44822"/>
    <n v="382675"/>
    <s v="18"/>
    <s v="Bilagsnr 10 er brukt tidligere"/>
    <n v="0.56000000000000005"/>
    <x v="3"/>
  </r>
  <r>
    <x v="1"/>
    <x v="1"/>
    <x v="1"/>
    <x v="7"/>
    <n v="44823"/>
    <n v="382676"/>
    <s v="19"/>
    <s v="Bilagsnr 10 er brukt tidligere"/>
    <n v="0.37"/>
    <x v="3"/>
  </r>
  <r>
    <x v="1"/>
    <x v="1"/>
    <x v="1"/>
    <x v="7"/>
    <n v="44824"/>
    <n v="382677"/>
    <s v="20"/>
    <s v="Bilagsnr 10 er brukt tidligere"/>
    <n v="0.83"/>
    <x v="3"/>
  </r>
  <r>
    <x v="1"/>
    <x v="1"/>
    <x v="1"/>
    <x v="7"/>
    <n v="44825"/>
    <n v="382678"/>
    <s v="21"/>
    <s v="Bilagsnr 10 er brukt tidligere"/>
    <n v="-0.22"/>
    <x v="3"/>
  </r>
  <r>
    <x v="1"/>
    <x v="1"/>
    <x v="1"/>
    <x v="7"/>
    <n v="44826"/>
    <n v="382679"/>
    <s v="22"/>
    <s v="Bilagsnr 10 er brukt tidligere"/>
    <n v="-0.1"/>
    <x v="3"/>
  </r>
  <r>
    <x v="1"/>
    <x v="1"/>
    <x v="1"/>
    <x v="7"/>
    <n v="44827"/>
    <n v="382680"/>
    <s v="23"/>
    <s v="Bilagsnr 10 er brukt tidligere"/>
    <n v="0.17"/>
    <x v="3"/>
  </r>
  <r>
    <x v="1"/>
    <x v="1"/>
    <x v="1"/>
    <x v="7"/>
    <n v="44828"/>
    <n v="382681"/>
    <s v="24"/>
    <s v="Bilagsnr 10 er brukt tidligere"/>
    <n v="-0.36"/>
    <x v="3"/>
  </r>
  <r>
    <x v="1"/>
    <x v="1"/>
    <x v="1"/>
    <x v="7"/>
    <n v="44833"/>
    <n v="4000516"/>
    <s v="Gastroline AS"/>
    <s v="Gastroline AS"/>
    <n v="0.2"/>
    <x v="3"/>
  </r>
  <r>
    <x v="1"/>
    <x v="1"/>
    <x v="1"/>
    <x v="8"/>
    <n v="44789"/>
    <n v="382598"/>
    <s v="16"/>
    <s v=" "/>
    <n v="0.12"/>
    <x v="3"/>
  </r>
  <r>
    <x v="1"/>
    <x v="1"/>
    <x v="1"/>
    <x v="8"/>
    <n v="44790"/>
    <n v="382599"/>
    <s v="17"/>
    <s v=" "/>
    <n v="0.53"/>
    <x v="3"/>
  </r>
  <r>
    <x v="1"/>
    <x v="1"/>
    <x v="1"/>
    <x v="8"/>
    <n v="44788"/>
    <n v="382597"/>
    <s v="15"/>
    <s v=" "/>
    <n v="0.36"/>
    <x v="3"/>
  </r>
  <r>
    <x v="1"/>
    <x v="1"/>
    <x v="1"/>
    <x v="8"/>
    <n v="44796"/>
    <n v="382627"/>
    <s v="23"/>
    <s v=" "/>
    <n v="0.36"/>
    <x v="3"/>
  </r>
  <r>
    <x v="1"/>
    <x v="1"/>
    <x v="1"/>
    <x v="8"/>
    <n v="44797"/>
    <n v="382617"/>
    <s v="24"/>
    <s v=" "/>
    <n v="0.03"/>
    <x v="3"/>
  </r>
  <r>
    <x v="1"/>
    <x v="1"/>
    <x v="1"/>
    <x v="8"/>
    <n v="44798"/>
    <n v="382629"/>
    <s v="25"/>
    <s v=" "/>
    <n v="0.16"/>
    <x v="3"/>
  </r>
  <r>
    <x v="1"/>
    <x v="1"/>
    <x v="1"/>
    <x v="8"/>
    <n v="44799"/>
    <n v="382630"/>
    <s v="26"/>
    <s v=" "/>
    <n v="0.68"/>
    <x v="3"/>
  </r>
  <r>
    <x v="1"/>
    <x v="1"/>
    <x v="1"/>
    <x v="8"/>
    <n v="44800"/>
    <n v="382631"/>
    <s v="27"/>
    <s v=" "/>
    <n v="0.28999999999999998"/>
    <x v="3"/>
  </r>
  <r>
    <x v="1"/>
    <x v="1"/>
    <x v="1"/>
    <x v="8"/>
    <n v="44801"/>
    <n v="382621"/>
    <s v="28"/>
    <s v=" "/>
    <n v="-0.12"/>
    <x v="3"/>
  </r>
  <r>
    <x v="1"/>
    <x v="1"/>
    <x v="1"/>
    <x v="1"/>
    <n v="44764"/>
    <n v="382532"/>
    <s v="22"/>
    <s v=" "/>
    <n v="0.02"/>
    <x v="3"/>
  </r>
  <r>
    <x v="1"/>
    <x v="1"/>
    <x v="1"/>
    <x v="1"/>
    <n v="44765"/>
    <n v="382533"/>
    <s v="22"/>
    <s v=" "/>
    <n v="-0.68"/>
    <x v="3"/>
  </r>
  <r>
    <x v="1"/>
    <x v="1"/>
    <x v="1"/>
    <x v="1"/>
    <n v="44766"/>
    <n v="382534"/>
    <s v="24"/>
    <s v=" "/>
    <n v="7.0000000000000007E-2"/>
    <x v="3"/>
  </r>
  <r>
    <x v="1"/>
    <x v="1"/>
    <x v="1"/>
    <x v="1"/>
    <n v="44767"/>
    <n v="382549"/>
    <s v="25"/>
    <s v=" "/>
    <n v="0.33"/>
    <x v="3"/>
  </r>
  <r>
    <x v="1"/>
    <x v="1"/>
    <x v="1"/>
    <x v="1"/>
    <n v="44768"/>
    <n v="382564"/>
    <s v="26"/>
    <s v=" "/>
    <n v="0.17"/>
    <x v="3"/>
  </r>
  <r>
    <x v="1"/>
    <x v="1"/>
    <x v="1"/>
    <x v="1"/>
    <n v="44769"/>
    <n v="382565"/>
    <s v="27"/>
    <s v=" "/>
    <n v="0.71"/>
    <x v="3"/>
  </r>
  <r>
    <x v="1"/>
    <x v="1"/>
    <x v="1"/>
    <x v="1"/>
    <n v="44771"/>
    <n v="382567"/>
    <s v="29"/>
    <s v=" "/>
    <n v="0.14000000000000001"/>
    <x v="3"/>
  </r>
  <r>
    <x v="1"/>
    <x v="1"/>
    <x v="1"/>
    <x v="1"/>
    <n v="44772"/>
    <n v="382554"/>
    <s v="30"/>
    <s v=" "/>
    <n v="-0.25"/>
    <x v="3"/>
  </r>
  <r>
    <x v="1"/>
    <x v="1"/>
    <x v="1"/>
    <x v="1"/>
    <n v="44773"/>
    <n v="382555"/>
    <s v="31"/>
    <s v=" "/>
    <n v="0.1"/>
    <x v="3"/>
  </r>
  <r>
    <x v="1"/>
    <x v="1"/>
    <x v="1"/>
    <x v="8"/>
    <n v="44774"/>
    <n v="382570"/>
    <s v="1"/>
    <s v=" "/>
    <n v="0.27"/>
    <x v="3"/>
  </r>
  <r>
    <x v="1"/>
    <x v="1"/>
    <x v="1"/>
    <x v="8"/>
    <n v="44777"/>
    <n v="382559"/>
    <s v="4"/>
    <s v=" "/>
    <n v="0.31"/>
    <x v="3"/>
  </r>
  <r>
    <x v="1"/>
    <x v="1"/>
    <x v="1"/>
    <x v="8"/>
    <n v="44778"/>
    <n v="382574"/>
    <s v="5"/>
    <s v=" "/>
    <n v="-0.01"/>
    <x v="3"/>
  </r>
  <r>
    <x v="1"/>
    <x v="1"/>
    <x v="1"/>
    <x v="8"/>
    <n v="44780"/>
    <n v="382576"/>
    <s v="7"/>
    <s v=" "/>
    <n v="0.04"/>
    <x v="3"/>
  </r>
  <r>
    <x v="1"/>
    <x v="1"/>
    <x v="1"/>
    <x v="8"/>
    <n v="44775"/>
    <n v="382557"/>
    <s v="2"/>
    <s v=" "/>
    <n v="0.25"/>
    <x v="3"/>
  </r>
  <r>
    <x v="1"/>
    <x v="1"/>
    <x v="1"/>
    <x v="8"/>
    <n v="44776"/>
    <n v="382572"/>
    <s v="3"/>
    <s v=" "/>
    <n v="0.24"/>
    <x v="3"/>
  </r>
  <r>
    <x v="1"/>
    <x v="1"/>
    <x v="1"/>
    <x v="8"/>
    <n v="44779"/>
    <n v="382561"/>
    <s v="6"/>
    <s v=" "/>
    <n v="-0.13"/>
    <x v="3"/>
  </r>
  <r>
    <x v="1"/>
    <x v="1"/>
    <x v="1"/>
    <x v="10"/>
    <n v="44852"/>
    <n v="382738"/>
    <s v="18"/>
    <s v="Bilagsnr 10 er brukt tidligere"/>
    <n v="0.33"/>
    <x v="3"/>
  </r>
  <r>
    <x v="1"/>
    <x v="1"/>
    <x v="1"/>
    <x v="10"/>
    <n v="44853"/>
    <n v="382739"/>
    <s v="19"/>
    <s v="Bilagsnr 10 er brukt tidligere"/>
    <n v="0.76"/>
    <x v="3"/>
  </r>
  <r>
    <x v="1"/>
    <x v="1"/>
    <x v="1"/>
    <x v="10"/>
    <n v="44854"/>
    <n v="382740"/>
    <s v="20"/>
    <s v="Bilagsnr 10 er brukt tidligere"/>
    <n v="-0.11"/>
    <x v="3"/>
  </r>
  <r>
    <x v="1"/>
    <x v="1"/>
    <x v="1"/>
    <x v="10"/>
    <n v="44856"/>
    <n v="382742"/>
    <s v="22"/>
    <s v="Bilagsnr 10 er brukt tidligere"/>
    <n v="-0.35"/>
    <x v="3"/>
  </r>
  <r>
    <x v="1"/>
    <x v="1"/>
    <x v="1"/>
    <x v="10"/>
    <n v="44855"/>
    <n v="382741"/>
    <s v="21"/>
    <s v="Bilagsnr 10 er brukt tidligere"/>
    <n v="-0.56999999999999995"/>
    <x v="3"/>
  </r>
  <r>
    <x v="1"/>
    <x v="1"/>
    <x v="1"/>
    <x v="10"/>
    <n v="44857"/>
    <n v="382743"/>
    <s v="23"/>
    <s v="Bilagsnr 10 er brukt tidligere"/>
    <n v="-0.25"/>
    <x v="3"/>
  </r>
  <r>
    <x v="1"/>
    <x v="1"/>
    <x v="1"/>
    <x v="10"/>
    <n v="44858"/>
    <n v="382744"/>
    <s v="24"/>
    <s v="Bilagsnr 10 er brukt tidligere"/>
    <n v="0.54"/>
    <x v="3"/>
  </r>
  <r>
    <x v="1"/>
    <x v="1"/>
    <x v="1"/>
    <x v="10"/>
    <n v="44859"/>
    <n v="382754"/>
    <s v="25"/>
    <s v="Bilagsnr 10 er brukt tidligere"/>
    <n v="0.15"/>
    <x v="3"/>
  </r>
  <r>
    <x v="1"/>
    <x v="1"/>
    <x v="1"/>
    <x v="10"/>
    <n v="44860"/>
    <n v="382755"/>
    <s v="26"/>
    <s v="Bilagsnr 10 er brukt tidligere"/>
    <n v="0.51"/>
    <x v="3"/>
  </r>
  <r>
    <x v="1"/>
    <x v="1"/>
    <x v="1"/>
    <x v="10"/>
    <n v="44861"/>
    <n v="382756"/>
    <s v="27"/>
    <s v="Bilagsnr 10 er brukt tidligere"/>
    <n v="0.31"/>
    <x v="3"/>
  </r>
  <r>
    <x v="1"/>
    <x v="1"/>
    <x v="1"/>
    <x v="10"/>
    <n v="44862"/>
    <n v="382757"/>
    <s v="28"/>
    <s v="Bilagsnr 10 er brukt tidligere"/>
    <n v="0.43"/>
    <x v="3"/>
  </r>
  <r>
    <x v="1"/>
    <x v="1"/>
    <x v="1"/>
    <x v="10"/>
    <n v="44863"/>
    <n v="382758"/>
    <s v="29"/>
    <s v="Bilagsnr 10 er brukt tidligere"/>
    <n v="-0.42"/>
    <x v="3"/>
  </r>
  <r>
    <x v="1"/>
    <x v="1"/>
    <x v="1"/>
    <x v="10"/>
    <n v="44864"/>
    <n v="382759"/>
    <s v="30"/>
    <s v="Bilagsnr 10 er brukt tidligere"/>
    <n v="0.82"/>
    <x v="3"/>
  </r>
  <r>
    <x v="1"/>
    <x v="1"/>
    <x v="1"/>
    <x v="10"/>
    <n v="44865"/>
    <n v="382760"/>
    <s v="31"/>
    <s v="Bilagsnr 10 er brukt tidligere"/>
    <n v="-0.55000000000000004"/>
    <x v="3"/>
  </r>
  <r>
    <x v="1"/>
    <x v="1"/>
    <x v="1"/>
    <x v="10"/>
    <n v="44835"/>
    <n v="382701"/>
    <s v="1"/>
    <s v="Bilagsnr 10 er brukt tidligere"/>
    <n v="-0.39"/>
    <x v="3"/>
  </r>
  <r>
    <x v="1"/>
    <x v="1"/>
    <x v="1"/>
    <x v="10"/>
    <n v="44836"/>
    <n v="382702"/>
    <s v="2"/>
    <s v="Bilagsnr 10 er brukt tidligere"/>
    <n v="0.08"/>
    <x v="3"/>
  </r>
  <r>
    <x v="1"/>
    <x v="1"/>
    <x v="1"/>
    <x v="10"/>
    <n v="44837"/>
    <n v="382703"/>
    <s v="3"/>
    <s v="Bilagsnr 10 er brukt tidligere"/>
    <n v="0.49"/>
    <x v="3"/>
  </r>
  <r>
    <x v="1"/>
    <x v="1"/>
    <x v="1"/>
    <x v="10"/>
    <n v="44841"/>
    <n v="382707"/>
    <s v="7"/>
    <s v="Bilagsnr 10 er brukt tidligere"/>
    <n v="0.6"/>
    <x v="3"/>
  </r>
  <r>
    <x v="1"/>
    <x v="1"/>
    <x v="1"/>
    <x v="10"/>
    <n v="44840"/>
    <n v="382706"/>
    <s v="6"/>
    <s v="Bilagsnr 10 er brukt tidligere"/>
    <n v="0.16"/>
    <x v="3"/>
  </r>
  <r>
    <x v="1"/>
    <x v="1"/>
    <x v="1"/>
    <x v="7"/>
    <n v="44829"/>
    <n v="382682"/>
    <s v="25"/>
    <s v="Bilagsnr 10 er brukt tidligere"/>
    <n v="-0.04"/>
    <x v="3"/>
  </r>
  <r>
    <x v="1"/>
    <x v="1"/>
    <x v="1"/>
    <x v="7"/>
    <n v="44830"/>
    <n v="382683"/>
    <s v="26"/>
    <s v="Bilagsnr 10 er brukt tidligere"/>
    <n v="-0.01"/>
    <x v="3"/>
  </r>
  <r>
    <x v="1"/>
    <x v="1"/>
    <x v="1"/>
    <x v="7"/>
    <n v="44831"/>
    <n v="382684"/>
    <s v="27"/>
    <s v="Bilagsnr 10 er brukt tidligere"/>
    <n v="-0.05"/>
    <x v="3"/>
  </r>
  <r>
    <x v="1"/>
    <x v="1"/>
    <x v="1"/>
    <x v="7"/>
    <n v="44832"/>
    <n v="382685"/>
    <s v="28"/>
    <s v="Bilagsnr 10 er brukt tidligere"/>
    <n v="0.75"/>
    <x v="3"/>
  </r>
  <r>
    <x v="1"/>
    <x v="1"/>
    <x v="1"/>
    <x v="7"/>
    <n v="44833"/>
    <n v="382686"/>
    <s v="Utgående faktura"/>
    <s v="Bilagsnr 10 er brukt tidligere"/>
    <n v="0.1"/>
    <x v="3"/>
  </r>
  <r>
    <x v="1"/>
    <x v="1"/>
    <x v="1"/>
    <x v="7"/>
    <n v="44834"/>
    <n v="382687"/>
    <s v="Utgående faktura"/>
    <s v="Bilagsnr 10 er brukt tidligere"/>
    <n v="1.01"/>
    <x v="3"/>
  </r>
  <r>
    <x v="1"/>
    <x v="1"/>
    <x v="1"/>
    <x v="10"/>
    <n v="44843"/>
    <n v="382724"/>
    <s v="9"/>
    <s v="Bilagsnr 10 er brukt tidligere"/>
    <n v="0.43"/>
    <x v="3"/>
  </r>
  <r>
    <x v="1"/>
    <x v="1"/>
    <x v="1"/>
    <x v="10"/>
    <n v="44844"/>
    <n v="382725"/>
    <s v="10"/>
    <s v="Bilagsnr 10 er brukt tidligere"/>
    <n v="0.28000000000000003"/>
    <x v="3"/>
  </r>
  <r>
    <x v="1"/>
    <x v="1"/>
    <x v="1"/>
    <x v="10"/>
    <n v="44845"/>
    <n v="382726"/>
    <s v="11"/>
    <s v="Bilagsnr 10 er brukt tidligere"/>
    <n v="0.46"/>
    <x v="3"/>
  </r>
  <r>
    <x v="1"/>
    <x v="1"/>
    <x v="1"/>
    <x v="10"/>
    <n v="44846"/>
    <n v="382727"/>
    <s v="12"/>
    <s v="Bilagsnr 10 er brukt tidligere"/>
    <n v="1.1299999999999999"/>
    <x v="3"/>
  </r>
  <r>
    <x v="1"/>
    <x v="1"/>
    <x v="1"/>
    <x v="10"/>
    <n v="44847"/>
    <n v="382728"/>
    <s v="13"/>
    <s v="Bilagsnr 10 er brukt tidligere"/>
    <n v="0.37"/>
    <x v="3"/>
  </r>
  <r>
    <x v="1"/>
    <x v="1"/>
    <x v="1"/>
    <x v="10"/>
    <n v="44848"/>
    <n v="382729"/>
    <s v="14"/>
    <s v="Bilagsnr 10 er brukt tidligere"/>
    <n v="-0.46"/>
    <x v="3"/>
  </r>
  <r>
    <x v="1"/>
    <x v="1"/>
    <x v="1"/>
    <x v="10"/>
    <n v="44849"/>
    <n v="382730"/>
    <s v="15"/>
    <s v="Bilagsnr 10 er brukt tidligere"/>
    <n v="0.13"/>
    <x v="3"/>
  </r>
  <r>
    <x v="1"/>
    <x v="1"/>
    <x v="1"/>
    <x v="10"/>
    <n v="44851"/>
    <n v="382732"/>
    <s v="17"/>
    <s v="Bilagsnr 10 er brukt tidligere"/>
    <n v="-0.06"/>
    <x v="3"/>
  </r>
  <r>
    <x v="1"/>
    <x v="1"/>
    <x v="1"/>
    <x v="7"/>
    <n v="44805"/>
    <n v="382718"/>
    <s v="1"/>
    <s v="Bilagsnr 10 er brukt tidligere"/>
    <n v="-0.01"/>
    <x v="3"/>
  </r>
  <r>
    <x v="1"/>
    <x v="1"/>
    <x v="1"/>
    <x v="7"/>
    <n v="44806"/>
    <n v="382719"/>
    <s v="2"/>
    <s v="Bilagsnr 10 er brukt tidligere"/>
    <n v="-0.21"/>
    <x v="3"/>
  </r>
  <r>
    <x v="1"/>
    <x v="1"/>
    <x v="1"/>
    <x v="7"/>
    <n v="44807"/>
    <n v="382720"/>
    <s v="3"/>
    <s v="Bilagsnr 10 er brukt tidligere"/>
    <n v="-0.19"/>
    <x v="3"/>
  </r>
  <r>
    <x v="1"/>
    <x v="1"/>
    <x v="1"/>
    <x v="10"/>
    <n v="44850"/>
    <n v="382731"/>
    <s v="16"/>
    <s v="Bilagsnr 10 er brukt tidligere"/>
    <n v="0.18"/>
    <x v="3"/>
  </r>
  <r>
    <x v="1"/>
    <x v="1"/>
    <x v="1"/>
    <x v="10"/>
    <n v="44842"/>
    <n v="382708"/>
    <s v="Utgående faktura"/>
    <s v="Bilagsnr 10 er brukt tidligere"/>
    <n v="0.05"/>
    <x v="3"/>
  </r>
  <r>
    <x v="1"/>
    <x v="1"/>
    <x v="1"/>
    <x v="10"/>
    <n v="44838"/>
    <n v="382704"/>
    <s v="4"/>
    <s v="Bilagsnr 10 er brukt tidligere"/>
    <n v="-0.04"/>
    <x v="3"/>
  </r>
  <r>
    <x v="1"/>
    <x v="1"/>
    <x v="1"/>
    <x v="10"/>
    <n v="44839"/>
    <n v="382705"/>
    <s v="5"/>
    <s v="Bilagsnr 10 er brukt tidligere"/>
    <n v="0.35"/>
    <x v="3"/>
  </r>
  <r>
    <x v="1"/>
    <x v="1"/>
    <x v="1"/>
    <x v="11"/>
    <n v="44642"/>
    <n v="382261"/>
    <s v="22"/>
    <s v=" "/>
    <n v="0.26"/>
    <x v="3"/>
  </r>
  <r>
    <x v="1"/>
    <x v="1"/>
    <x v="1"/>
    <x v="11"/>
    <n v="44643"/>
    <n v="382262"/>
    <s v="23"/>
    <s v=" "/>
    <n v="0.8"/>
    <x v="3"/>
  </r>
  <r>
    <x v="1"/>
    <x v="1"/>
    <x v="1"/>
    <x v="11"/>
    <n v="44644"/>
    <n v="382263"/>
    <s v="24"/>
    <s v=" "/>
    <n v="0.21"/>
    <x v="3"/>
  </r>
  <r>
    <x v="1"/>
    <x v="1"/>
    <x v="1"/>
    <x v="11"/>
    <n v="44645"/>
    <n v="382264"/>
    <s v="25"/>
    <s v=" "/>
    <n v="0.52"/>
    <x v="3"/>
  </r>
  <r>
    <x v="1"/>
    <x v="1"/>
    <x v="1"/>
    <x v="4"/>
    <n v="44655"/>
    <n v="382287"/>
    <s v="4"/>
    <s v=" "/>
    <n v="-0.02"/>
    <x v="3"/>
  </r>
  <r>
    <x v="1"/>
    <x v="1"/>
    <x v="1"/>
    <x v="4"/>
    <n v="44656"/>
    <n v="382288"/>
    <s v="Utgående faktura"/>
    <s v=" "/>
    <n v="-0.33"/>
    <x v="3"/>
  </r>
  <r>
    <x v="1"/>
    <x v="1"/>
    <x v="1"/>
    <x v="4"/>
    <n v="44657"/>
    <n v="382289"/>
    <s v="Utgående faktura"/>
    <s v=" "/>
    <n v="0.36"/>
    <x v="3"/>
  </r>
  <r>
    <x v="1"/>
    <x v="1"/>
    <x v="1"/>
    <x v="4"/>
    <n v="44658"/>
    <n v="382290"/>
    <s v="7"/>
    <s v=" "/>
    <n v="0.44"/>
    <x v="3"/>
  </r>
  <r>
    <x v="1"/>
    <x v="1"/>
    <x v="1"/>
    <x v="4"/>
    <n v="44659"/>
    <n v="382291"/>
    <s v="8"/>
    <s v=" "/>
    <n v="0.09"/>
    <x v="3"/>
  </r>
  <r>
    <x v="1"/>
    <x v="1"/>
    <x v="1"/>
    <x v="4"/>
    <n v="44652"/>
    <n v="382284"/>
    <s v="1"/>
    <s v=" "/>
    <n v="0.28999999999999998"/>
    <x v="3"/>
  </r>
  <r>
    <x v="1"/>
    <x v="1"/>
    <x v="1"/>
    <x v="4"/>
    <n v="44653"/>
    <n v="382285"/>
    <s v="2"/>
    <s v=" "/>
    <n v="0.38"/>
    <x v="3"/>
  </r>
  <r>
    <x v="1"/>
    <x v="1"/>
    <x v="1"/>
    <x v="4"/>
    <n v="44654"/>
    <n v="382286"/>
    <s v="3"/>
    <s v=" "/>
    <n v="-0.39"/>
    <x v="3"/>
  </r>
  <r>
    <x v="1"/>
    <x v="1"/>
    <x v="1"/>
    <x v="4"/>
    <n v="44660"/>
    <n v="382292"/>
    <s v="9"/>
    <s v=" "/>
    <n v="0.16"/>
    <x v="3"/>
  </r>
  <r>
    <x v="1"/>
    <x v="1"/>
    <x v="1"/>
    <x v="4"/>
    <n v="44661"/>
    <n v="382293"/>
    <s v="10"/>
    <s v=" "/>
    <n v="0.24"/>
    <x v="3"/>
  </r>
  <r>
    <x v="1"/>
    <x v="1"/>
    <x v="1"/>
    <x v="4"/>
    <n v="44666"/>
    <n v="382309"/>
    <s v="15"/>
    <s v=" "/>
    <n v="-0.03"/>
    <x v="3"/>
  </r>
  <r>
    <x v="1"/>
    <x v="1"/>
    <x v="1"/>
    <x v="4"/>
    <n v="44664"/>
    <n v="382307"/>
    <s v="13"/>
    <s v=" "/>
    <n v="0.43"/>
    <x v="3"/>
  </r>
  <r>
    <x v="1"/>
    <x v="1"/>
    <x v="1"/>
    <x v="4"/>
    <n v="44665"/>
    <n v="382308"/>
    <s v="14"/>
    <s v=" "/>
    <n v="-0.04"/>
    <x v="3"/>
  </r>
  <r>
    <x v="1"/>
    <x v="1"/>
    <x v="1"/>
    <x v="4"/>
    <n v="44667"/>
    <n v="382310"/>
    <s v="16"/>
    <s v=" "/>
    <n v="-0.54"/>
    <x v="3"/>
  </r>
  <r>
    <x v="1"/>
    <x v="1"/>
    <x v="1"/>
    <x v="4"/>
    <n v="44668"/>
    <n v="382311"/>
    <s v="17"/>
    <s v=" "/>
    <n v="-0.18"/>
    <x v="3"/>
  </r>
  <r>
    <x v="1"/>
    <x v="1"/>
    <x v="1"/>
    <x v="4"/>
    <n v="44669"/>
    <n v="382312"/>
    <s v="18"/>
    <s v=" "/>
    <n v="-0.39"/>
    <x v="3"/>
  </r>
  <r>
    <x v="1"/>
    <x v="1"/>
    <x v="1"/>
    <x v="4"/>
    <n v="44670"/>
    <n v="382304"/>
    <s v="Utgående faktura"/>
    <s v=" "/>
    <n v="0.01"/>
    <x v="3"/>
  </r>
  <r>
    <x v="1"/>
    <x v="1"/>
    <x v="1"/>
    <x v="4"/>
    <n v="44662"/>
    <n v="382305"/>
    <s v="11"/>
    <s v=" "/>
    <n v="0.22"/>
    <x v="3"/>
  </r>
  <r>
    <x v="1"/>
    <x v="1"/>
    <x v="1"/>
    <x v="4"/>
    <n v="44663"/>
    <n v="382306"/>
    <s v="12"/>
    <s v=" "/>
    <n v="0.56999999999999995"/>
    <x v="3"/>
  </r>
  <r>
    <x v="1"/>
    <x v="1"/>
    <x v="1"/>
    <x v="4"/>
    <n v="44672"/>
    <n v="382321"/>
    <s v="21"/>
    <s v=" "/>
    <n v="-0.08"/>
    <x v="3"/>
  </r>
  <r>
    <x v="1"/>
    <x v="1"/>
    <x v="1"/>
    <x v="4"/>
    <n v="44673"/>
    <n v="382322"/>
    <s v="22"/>
    <s v=" "/>
    <n v="0.11"/>
    <x v="3"/>
  </r>
  <r>
    <x v="1"/>
    <x v="1"/>
    <x v="1"/>
    <x v="4"/>
    <n v="44674"/>
    <n v="382323"/>
    <s v="23"/>
    <s v=" "/>
    <n v="0.36"/>
    <x v="3"/>
  </r>
  <r>
    <x v="1"/>
    <x v="1"/>
    <x v="1"/>
    <x v="4"/>
    <n v="44675"/>
    <n v="382324"/>
    <s v="24"/>
    <s v=" "/>
    <n v="0.52"/>
    <x v="3"/>
  </r>
  <r>
    <x v="1"/>
    <x v="1"/>
    <x v="1"/>
    <x v="4"/>
    <n v="44676"/>
    <n v="382325"/>
    <s v="25"/>
    <s v=" "/>
    <n v="0.47"/>
    <x v="3"/>
  </r>
  <r>
    <x v="1"/>
    <x v="1"/>
    <x v="1"/>
    <x v="4"/>
    <n v="44677"/>
    <n v="382326"/>
    <s v="26"/>
    <s v=" "/>
    <n v="-0.72"/>
    <x v="3"/>
  </r>
  <r>
    <x v="1"/>
    <x v="1"/>
    <x v="1"/>
    <x v="1"/>
    <n v="44757"/>
    <n v="382525"/>
    <s v="15"/>
    <s v=" "/>
    <n v="0.28000000000000003"/>
    <x v="3"/>
  </r>
  <r>
    <x v="1"/>
    <x v="1"/>
    <x v="1"/>
    <x v="1"/>
    <n v="44745"/>
    <n v="382492"/>
    <s v="3"/>
    <s v=" "/>
    <n v="0.21"/>
    <x v="3"/>
  </r>
  <r>
    <x v="1"/>
    <x v="1"/>
    <x v="1"/>
    <x v="0"/>
    <n v="44690"/>
    <n v="382411"/>
    <s v="9"/>
    <s v=" "/>
    <n v="0.72"/>
    <x v="3"/>
  </r>
  <r>
    <x v="1"/>
    <x v="1"/>
    <x v="1"/>
    <x v="0"/>
    <n v="44691"/>
    <n v="382412"/>
    <s v="10"/>
    <s v=" "/>
    <n v="0.05"/>
    <x v="3"/>
  </r>
  <r>
    <x v="1"/>
    <x v="1"/>
    <x v="1"/>
    <x v="0"/>
    <n v="44694"/>
    <n v="382363"/>
    <s v="13"/>
    <s v=" "/>
    <n v="0.28000000000000003"/>
    <x v="3"/>
  </r>
  <r>
    <x v="1"/>
    <x v="1"/>
    <x v="1"/>
    <x v="0"/>
    <n v="44695"/>
    <n v="382364"/>
    <s v="Utgående faktura"/>
    <s v=" "/>
    <n v="0.82"/>
    <x v="3"/>
  </r>
  <r>
    <x v="1"/>
    <x v="1"/>
    <x v="1"/>
    <x v="0"/>
    <n v="44700"/>
    <n v="382385"/>
    <s v="19"/>
    <s v=" "/>
    <n v="0.32"/>
    <x v="3"/>
  </r>
  <r>
    <x v="1"/>
    <x v="1"/>
    <x v="1"/>
    <x v="0"/>
    <n v="44701"/>
    <n v="382386"/>
    <s v="20"/>
    <s v=" "/>
    <n v="0.04"/>
    <x v="3"/>
  </r>
  <r>
    <x v="1"/>
    <x v="1"/>
    <x v="1"/>
    <x v="2"/>
    <n v="44715"/>
    <n v="382426"/>
    <s v="3"/>
    <s v=" "/>
    <n v="0.74"/>
    <x v="3"/>
  </r>
  <r>
    <x v="1"/>
    <x v="1"/>
    <x v="1"/>
    <x v="2"/>
    <n v="44716"/>
    <n v="382423"/>
    <s v="4"/>
    <s v=" "/>
    <n v="1.2"/>
    <x v="3"/>
  </r>
  <r>
    <x v="1"/>
    <x v="1"/>
    <x v="1"/>
    <x v="2"/>
    <n v="44728"/>
    <n v="382459"/>
    <s v="16"/>
    <s v=" "/>
    <n v="0.16"/>
    <x v="3"/>
  </r>
  <r>
    <x v="1"/>
    <x v="1"/>
    <x v="1"/>
    <x v="2"/>
    <n v="44719"/>
    <n v="382450"/>
    <s v="7"/>
    <s v=" "/>
    <n v="0.77"/>
    <x v="3"/>
  </r>
  <r>
    <x v="1"/>
    <x v="1"/>
    <x v="1"/>
    <x v="2"/>
    <n v="44720"/>
    <n v="382451"/>
    <s v="8"/>
    <s v=" "/>
    <n v="-0.13"/>
    <x v="3"/>
  </r>
  <r>
    <x v="1"/>
    <x v="1"/>
    <x v="1"/>
    <x v="2"/>
    <n v="44721"/>
    <n v="382452"/>
    <s v="9"/>
    <s v=" "/>
    <n v="-0.48"/>
    <x v="3"/>
  </r>
  <r>
    <x v="1"/>
    <x v="1"/>
    <x v="1"/>
    <x v="2"/>
    <n v="44722"/>
    <n v="382453"/>
    <s v="10"/>
    <s v=" "/>
    <n v="-7.0000000000000007E-2"/>
    <x v="3"/>
  </r>
  <r>
    <x v="1"/>
    <x v="1"/>
    <x v="1"/>
    <x v="2"/>
    <n v="44723"/>
    <n v="382454"/>
    <s v="11"/>
    <s v=" "/>
    <n v="-0.64"/>
    <x v="3"/>
  </r>
  <r>
    <x v="1"/>
    <x v="1"/>
    <x v="1"/>
    <x v="2"/>
    <n v="44724"/>
    <n v="382455"/>
    <s v="12"/>
    <s v=" "/>
    <n v="0.13"/>
    <x v="3"/>
  </r>
  <r>
    <x v="1"/>
    <x v="1"/>
    <x v="1"/>
    <x v="2"/>
    <n v="44725"/>
    <n v="382456"/>
    <s v="13"/>
    <s v=" "/>
    <n v="0.34"/>
    <x v="3"/>
  </r>
  <r>
    <x v="1"/>
    <x v="1"/>
    <x v="1"/>
    <x v="2"/>
    <n v="44726"/>
    <n v="382457"/>
    <s v="14"/>
    <s v=" "/>
    <n v="1.38"/>
    <x v="3"/>
  </r>
  <r>
    <x v="1"/>
    <x v="1"/>
    <x v="1"/>
    <x v="2"/>
    <n v="44727"/>
    <n v="382458"/>
    <s v="15"/>
    <s v=" "/>
    <n v="1.21"/>
    <x v="3"/>
  </r>
  <r>
    <x v="1"/>
    <x v="1"/>
    <x v="1"/>
    <x v="0"/>
    <n v="44702"/>
    <n v="382387"/>
    <s v="22"/>
    <s v=" "/>
    <n v="0.36"/>
    <x v="3"/>
  </r>
  <r>
    <x v="1"/>
    <x v="1"/>
    <x v="1"/>
    <x v="11"/>
    <n v="44648"/>
    <n v="382258"/>
    <s v="28"/>
    <s v=" "/>
    <n v="0.66"/>
    <x v="3"/>
  </r>
  <r>
    <x v="1"/>
    <x v="1"/>
    <x v="1"/>
    <x v="11"/>
    <n v="44646"/>
    <n v="382265"/>
    <s v="26"/>
    <s v=" "/>
    <n v="0.08"/>
    <x v="3"/>
  </r>
  <r>
    <x v="1"/>
    <x v="1"/>
    <x v="1"/>
    <x v="11"/>
    <n v="44647"/>
    <n v="382266"/>
    <s v="27"/>
    <s v=" "/>
    <n v="0.14000000000000001"/>
    <x v="3"/>
  </r>
  <r>
    <x v="1"/>
    <x v="1"/>
    <x v="1"/>
    <x v="11"/>
    <n v="44651"/>
    <n v="382283"/>
    <s v="31"/>
    <s v=" "/>
    <n v="-0.01"/>
    <x v="3"/>
  </r>
  <r>
    <x v="1"/>
    <x v="1"/>
    <x v="1"/>
    <x v="11"/>
    <n v="44635"/>
    <n v="382241"/>
    <s v="15"/>
    <s v=" "/>
    <n v="0.49"/>
    <x v="3"/>
  </r>
  <r>
    <x v="1"/>
    <x v="1"/>
    <x v="1"/>
    <x v="11"/>
    <n v="44649"/>
    <n v="382259"/>
    <s v="29"/>
    <s v=" "/>
    <n v="0.23"/>
    <x v="3"/>
  </r>
  <r>
    <x v="1"/>
    <x v="1"/>
    <x v="1"/>
    <x v="11"/>
    <n v="44636"/>
    <n v="382242"/>
    <s v="16"/>
    <s v=" "/>
    <n v="0.06"/>
    <x v="3"/>
  </r>
  <r>
    <x v="1"/>
    <x v="1"/>
    <x v="1"/>
    <x v="11"/>
    <n v="44632"/>
    <n v="382233"/>
    <s v="12"/>
    <s v=" "/>
    <n v="0.19"/>
    <x v="3"/>
  </r>
  <r>
    <x v="1"/>
    <x v="1"/>
    <x v="1"/>
    <x v="11"/>
    <n v="44637"/>
    <n v="382243"/>
    <s v="17"/>
    <s v=" "/>
    <n v="-0.39"/>
    <x v="3"/>
  </r>
  <r>
    <x v="1"/>
    <x v="1"/>
    <x v="1"/>
    <x v="11"/>
    <n v="44638"/>
    <n v="382244"/>
    <s v="18"/>
    <s v=" "/>
    <n v="0.59"/>
    <x v="3"/>
  </r>
  <r>
    <x v="1"/>
    <x v="1"/>
    <x v="1"/>
    <x v="11"/>
    <n v="44634"/>
    <n v="382240"/>
    <s v="14"/>
    <s v=" "/>
    <n v="0.41"/>
    <x v="3"/>
  </r>
  <r>
    <x v="1"/>
    <x v="1"/>
    <x v="1"/>
    <x v="11"/>
    <n v="44639"/>
    <n v="382245"/>
    <s v="19"/>
    <s v=" "/>
    <n v="0.94"/>
    <x v="3"/>
  </r>
  <r>
    <x v="1"/>
    <x v="1"/>
    <x v="1"/>
    <x v="11"/>
    <n v="44640"/>
    <n v="382246"/>
    <s v="20"/>
    <s v=" "/>
    <n v="-0.01"/>
    <x v="3"/>
  </r>
  <r>
    <x v="1"/>
    <x v="1"/>
    <x v="1"/>
    <x v="11"/>
    <n v="44641"/>
    <n v="382247"/>
    <s v="21"/>
    <s v=" "/>
    <n v="0.49"/>
    <x v="3"/>
  </r>
  <r>
    <x v="1"/>
    <x v="1"/>
    <x v="1"/>
    <x v="0"/>
    <n v="44693"/>
    <n v="382362"/>
    <s v="12"/>
    <s v=" "/>
    <n v="0.44"/>
    <x v="3"/>
  </r>
  <r>
    <x v="1"/>
    <x v="1"/>
    <x v="1"/>
    <x v="0"/>
    <n v="44692"/>
    <n v="382361"/>
    <s v="11"/>
    <s v=" "/>
    <n v="-0.67"/>
    <x v="3"/>
  </r>
  <r>
    <x v="1"/>
    <x v="1"/>
    <x v="1"/>
    <x v="0"/>
    <n v="44685"/>
    <n v="382341"/>
    <s v="4"/>
    <s v=" "/>
    <n v="0.51"/>
    <x v="3"/>
  </r>
  <r>
    <x v="1"/>
    <x v="1"/>
    <x v="1"/>
    <x v="0"/>
    <n v="44689"/>
    <n v="382354"/>
    <s v="8"/>
    <s v=" "/>
    <n v="-0.4"/>
    <x v="3"/>
  </r>
  <r>
    <x v="1"/>
    <x v="1"/>
    <x v="1"/>
    <x v="0"/>
    <n v="44697"/>
    <n v="382366"/>
    <s v="16"/>
    <s v=" "/>
    <n v="0.59"/>
    <x v="3"/>
  </r>
  <r>
    <x v="1"/>
    <x v="1"/>
    <x v="1"/>
    <x v="0"/>
    <n v="44698"/>
    <n v="382367"/>
    <s v="17"/>
    <s v=" "/>
    <n v="0.2"/>
    <x v="3"/>
  </r>
  <r>
    <x v="1"/>
    <x v="1"/>
    <x v="1"/>
    <x v="0"/>
    <n v="44688"/>
    <n v="382353"/>
    <s v="Utgående faktura"/>
    <s v=" "/>
    <n v="-0.41"/>
    <x v="3"/>
  </r>
  <r>
    <x v="1"/>
    <x v="1"/>
    <x v="1"/>
    <x v="0"/>
    <n v="44687"/>
    <n v="382352"/>
    <s v="6"/>
    <s v=" "/>
    <n v="0.12"/>
    <x v="3"/>
  </r>
  <r>
    <x v="1"/>
    <x v="1"/>
    <x v="1"/>
    <x v="4"/>
    <n v="44678"/>
    <n v="382334"/>
    <s v="27"/>
    <s v=" "/>
    <n v="0.15"/>
    <x v="3"/>
  </r>
  <r>
    <x v="1"/>
    <x v="1"/>
    <x v="1"/>
    <x v="4"/>
    <n v="44679"/>
    <n v="382335"/>
    <s v="28"/>
    <s v=" "/>
    <n v="0.37"/>
    <x v="3"/>
  </r>
  <r>
    <x v="1"/>
    <x v="1"/>
    <x v="1"/>
    <x v="4"/>
    <n v="44680"/>
    <n v="382336"/>
    <s v="29"/>
    <s v=" "/>
    <n v="0.28000000000000003"/>
    <x v="3"/>
  </r>
  <r>
    <x v="1"/>
    <x v="1"/>
    <x v="1"/>
    <x v="4"/>
    <n v="44681"/>
    <n v="382337"/>
    <s v="30"/>
    <s v=" "/>
    <n v="0.28000000000000003"/>
    <x v="3"/>
  </r>
  <r>
    <x v="1"/>
    <x v="1"/>
    <x v="1"/>
    <x v="4"/>
    <n v="44671"/>
    <n v="382320"/>
    <s v="20"/>
    <s v=" "/>
    <n v="0.11"/>
    <x v="3"/>
  </r>
  <r>
    <x v="1"/>
    <x v="1"/>
    <x v="1"/>
    <x v="0"/>
    <n v="44684"/>
    <n v="382340"/>
    <s v="3"/>
    <s v=" "/>
    <n v="0.62"/>
    <x v="3"/>
  </r>
  <r>
    <x v="1"/>
    <x v="1"/>
    <x v="1"/>
    <x v="0"/>
    <n v="44682"/>
    <n v="382338"/>
    <s v="1"/>
    <s v=" "/>
    <n v="-0.51"/>
    <x v="3"/>
  </r>
  <r>
    <x v="1"/>
    <x v="1"/>
    <x v="1"/>
    <x v="0"/>
    <n v="44686"/>
    <n v="382351"/>
    <s v="5"/>
    <s v=" "/>
    <n v="0.55000000000000004"/>
    <x v="3"/>
  </r>
  <r>
    <x v="1"/>
    <x v="1"/>
    <x v="1"/>
    <x v="2"/>
    <n v="44734"/>
    <n v="382482"/>
    <s v="22"/>
    <s v=" "/>
    <n v="-0.2"/>
    <x v="3"/>
  </r>
  <r>
    <x v="1"/>
    <x v="1"/>
    <x v="1"/>
    <x v="2"/>
    <n v="44735"/>
    <n v="382483"/>
    <s v="23"/>
    <s v=" "/>
    <n v="-0.2"/>
    <x v="3"/>
  </r>
  <r>
    <x v="1"/>
    <x v="1"/>
    <x v="1"/>
    <x v="2"/>
    <n v="44736"/>
    <n v="382484"/>
    <s v="24"/>
    <s v=" "/>
    <n v="-0.23"/>
    <x v="3"/>
  </r>
  <r>
    <x v="1"/>
    <x v="1"/>
    <x v="1"/>
    <x v="2"/>
    <n v="44737"/>
    <n v="382485"/>
    <s v="25"/>
    <s v=" "/>
    <n v="-1.28"/>
    <x v="3"/>
  </r>
  <r>
    <x v="1"/>
    <x v="1"/>
    <x v="1"/>
    <x v="2"/>
    <n v="44738"/>
    <n v="382486"/>
    <s v="26"/>
    <s v=" "/>
    <n v="0.19"/>
    <x v="3"/>
  </r>
  <r>
    <x v="1"/>
    <x v="1"/>
    <x v="1"/>
    <x v="2"/>
    <n v="44739"/>
    <n v="382487"/>
    <s v="27"/>
    <s v=" "/>
    <n v="0.52"/>
    <x v="3"/>
  </r>
  <r>
    <x v="1"/>
    <x v="1"/>
    <x v="1"/>
    <x v="2"/>
    <n v="44740"/>
    <n v="382488"/>
    <s v="28"/>
    <s v=" "/>
    <n v="-0.37"/>
    <x v="3"/>
  </r>
  <r>
    <x v="1"/>
    <x v="1"/>
    <x v="1"/>
    <x v="2"/>
    <n v="44741"/>
    <n v="382489"/>
    <s v="29"/>
    <s v=" "/>
    <n v="0.34"/>
    <x v="3"/>
  </r>
  <r>
    <x v="1"/>
    <x v="1"/>
    <x v="1"/>
    <x v="2"/>
    <n v="44742"/>
    <n v="382490"/>
    <s v="30"/>
    <s v=" "/>
    <n v="0.21"/>
    <x v="3"/>
  </r>
  <r>
    <x v="1"/>
    <x v="1"/>
    <x v="1"/>
    <x v="1"/>
    <n v="44743"/>
    <n v="382491"/>
    <s v="1"/>
    <s v=" "/>
    <n v="-0.57999999999999996"/>
    <x v="3"/>
  </r>
  <r>
    <x v="1"/>
    <x v="1"/>
    <x v="1"/>
    <x v="1"/>
    <n v="44744"/>
    <n v="382493"/>
    <s v="2"/>
    <s v=" "/>
    <n v="-0.11"/>
    <x v="3"/>
  </r>
  <r>
    <x v="1"/>
    <x v="1"/>
    <x v="1"/>
    <x v="2"/>
    <n v="44731"/>
    <n v="382462"/>
    <s v="19"/>
    <s v=" "/>
    <n v="0.16"/>
    <x v="3"/>
  </r>
  <r>
    <x v="1"/>
    <x v="1"/>
    <x v="1"/>
    <x v="1"/>
    <n v="44748"/>
    <n v="382516"/>
    <s v="6"/>
    <s v=" "/>
    <n v="0.34"/>
    <x v="3"/>
  </r>
  <r>
    <x v="1"/>
    <x v="1"/>
    <x v="1"/>
    <x v="1"/>
    <n v="44749"/>
    <n v="382517"/>
    <s v="7"/>
    <s v=" "/>
    <n v="0.31"/>
    <x v="3"/>
  </r>
  <r>
    <x v="1"/>
    <x v="1"/>
    <x v="1"/>
    <x v="1"/>
    <n v="44750"/>
    <n v="382518"/>
    <s v="8"/>
    <s v=" "/>
    <n v="-0.05"/>
    <x v="3"/>
  </r>
  <r>
    <x v="1"/>
    <x v="1"/>
    <x v="1"/>
    <x v="1"/>
    <n v="44751"/>
    <n v="382519"/>
    <s v="9"/>
    <s v=" "/>
    <n v="0.21"/>
    <x v="3"/>
  </r>
  <r>
    <x v="1"/>
    <x v="1"/>
    <x v="1"/>
    <x v="1"/>
    <n v="44752"/>
    <n v="382520"/>
    <s v="10"/>
    <s v=" "/>
    <n v="-0.06"/>
    <x v="3"/>
  </r>
  <r>
    <x v="1"/>
    <x v="1"/>
    <x v="1"/>
    <x v="1"/>
    <n v="44753"/>
    <n v="382521"/>
    <s v="11"/>
    <s v=" "/>
    <n v="0.27"/>
    <x v="3"/>
  </r>
  <r>
    <x v="1"/>
    <x v="1"/>
    <x v="1"/>
    <x v="1"/>
    <n v="44754"/>
    <n v="382522"/>
    <s v="12"/>
    <s v=" "/>
    <n v="-0.04"/>
    <x v="3"/>
  </r>
  <r>
    <x v="1"/>
    <x v="1"/>
    <x v="1"/>
    <x v="1"/>
    <n v="44758"/>
    <n v="382526"/>
    <s v="16"/>
    <s v=" "/>
    <n v="1.02"/>
    <x v="3"/>
  </r>
  <r>
    <x v="1"/>
    <x v="1"/>
    <x v="1"/>
    <x v="1"/>
    <n v="44759"/>
    <n v="382527"/>
    <s v="17"/>
    <s v=" "/>
    <n v="-0.64"/>
    <x v="3"/>
  </r>
  <r>
    <x v="1"/>
    <x v="1"/>
    <x v="1"/>
    <x v="1"/>
    <n v="44760"/>
    <n v="382528"/>
    <s v="18"/>
    <s v=" "/>
    <n v="0.51"/>
    <x v="3"/>
  </r>
  <r>
    <x v="1"/>
    <x v="1"/>
    <x v="1"/>
    <x v="1"/>
    <n v="44761"/>
    <n v="382529"/>
    <s v="19"/>
    <s v=" "/>
    <n v="-0.36"/>
    <x v="3"/>
  </r>
  <r>
    <x v="1"/>
    <x v="1"/>
    <x v="1"/>
    <x v="1"/>
    <n v="44746"/>
    <n v="382494"/>
    <s v="4"/>
    <s v=" "/>
    <n v="0.55000000000000004"/>
    <x v="3"/>
  </r>
  <r>
    <x v="1"/>
    <x v="1"/>
    <x v="1"/>
    <x v="1"/>
    <n v="44747"/>
    <n v="382495"/>
    <s v="5"/>
    <s v=" "/>
    <n v="-0.04"/>
    <x v="3"/>
  </r>
  <r>
    <x v="1"/>
    <x v="1"/>
    <x v="1"/>
    <x v="1"/>
    <n v="44755"/>
    <n v="382523"/>
    <s v="13"/>
    <s v=" "/>
    <n v="0.04"/>
    <x v="3"/>
  </r>
  <r>
    <x v="1"/>
    <x v="1"/>
    <x v="1"/>
    <x v="1"/>
    <n v="44756"/>
    <n v="382524"/>
    <s v="14"/>
    <s v=" "/>
    <n v="0.04"/>
    <x v="3"/>
  </r>
  <r>
    <x v="1"/>
    <x v="1"/>
    <x v="1"/>
    <x v="1"/>
    <n v="44762"/>
    <n v="382530"/>
    <s v="20"/>
    <s v=" "/>
    <n v="0.67"/>
    <x v="3"/>
  </r>
  <r>
    <x v="1"/>
    <x v="1"/>
    <x v="1"/>
    <x v="1"/>
    <n v="44763"/>
    <n v="382531"/>
    <s v="21"/>
    <s v=" "/>
    <n v="0.41"/>
    <x v="3"/>
  </r>
  <r>
    <x v="1"/>
    <x v="1"/>
    <x v="1"/>
    <x v="2"/>
    <n v="44729"/>
    <n v="382460"/>
    <s v="17"/>
    <s v=" "/>
    <n v="0.79"/>
    <x v="3"/>
  </r>
  <r>
    <x v="1"/>
    <x v="1"/>
    <x v="1"/>
    <x v="2"/>
    <n v="44730"/>
    <n v="382461"/>
    <s v="18"/>
    <s v=" "/>
    <n v="0.25"/>
    <x v="3"/>
  </r>
  <r>
    <x v="1"/>
    <x v="1"/>
    <x v="1"/>
    <x v="2"/>
    <n v="44732"/>
    <n v="382463"/>
    <s v="20"/>
    <s v=" "/>
    <n v="0.14000000000000001"/>
    <x v="3"/>
  </r>
  <r>
    <x v="1"/>
    <x v="1"/>
    <x v="1"/>
    <x v="2"/>
    <n v="44733"/>
    <n v="382464"/>
    <s v="21"/>
    <s v=" "/>
    <n v="-0.08"/>
    <x v="3"/>
  </r>
  <r>
    <x v="1"/>
    <x v="1"/>
    <x v="1"/>
    <x v="0"/>
    <n v="44683"/>
    <n v="382339"/>
    <s v="2"/>
    <s v=" "/>
    <n v="0.04"/>
    <x v="3"/>
  </r>
  <r>
    <x v="1"/>
    <x v="1"/>
    <x v="1"/>
    <x v="0"/>
    <n v="44699"/>
    <n v="382384"/>
    <s v="18"/>
    <s v=" "/>
    <n v="0.39"/>
    <x v="3"/>
  </r>
  <r>
    <x v="1"/>
    <x v="1"/>
    <x v="1"/>
    <x v="0"/>
    <n v="44708"/>
    <n v="382393"/>
    <s v="27"/>
    <s v=" "/>
    <n v="-0.25"/>
    <x v="3"/>
  </r>
  <r>
    <x v="1"/>
    <x v="1"/>
    <x v="1"/>
    <x v="0"/>
    <n v="44709"/>
    <n v="382394"/>
    <s v="28"/>
    <s v=" "/>
    <n v="-0.49"/>
    <x v="3"/>
  </r>
  <r>
    <x v="1"/>
    <x v="1"/>
    <x v="1"/>
    <x v="0"/>
    <n v="44706"/>
    <n v="382391"/>
    <s v="25"/>
    <s v=" "/>
    <n v="0.25"/>
    <x v="3"/>
  </r>
  <r>
    <x v="1"/>
    <x v="1"/>
    <x v="1"/>
    <x v="0"/>
    <n v="44707"/>
    <n v="382392"/>
    <s v="26"/>
    <s v=" "/>
    <n v="-0.08"/>
    <x v="3"/>
  </r>
  <r>
    <x v="1"/>
    <x v="1"/>
    <x v="1"/>
    <x v="0"/>
    <n v="44705"/>
    <n v="382390"/>
    <s v="24"/>
    <s v=" "/>
    <n v="0.62"/>
    <x v="3"/>
  </r>
  <r>
    <x v="1"/>
    <x v="1"/>
    <x v="1"/>
    <x v="0"/>
    <n v="44696"/>
    <n v="382365"/>
    <s v="15"/>
    <s v=" "/>
    <n v="0.02"/>
    <x v="3"/>
  </r>
  <r>
    <x v="1"/>
    <x v="1"/>
    <x v="1"/>
    <x v="0"/>
    <n v="44703"/>
    <n v="382388"/>
    <s v="21"/>
    <s v=" "/>
    <n v="-0.37"/>
    <x v="3"/>
  </r>
  <r>
    <x v="1"/>
    <x v="1"/>
    <x v="1"/>
    <x v="0"/>
    <n v="44704"/>
    <n v="382389"/>
    <s v="23"/>
    <s v=" "/>
    <n v="0.88"/>
    <x v="3"/>
  </r>
  <r>
    <x v="1"/>
    <x v="1"/>
    <x v="1"/>
    <x v="0"/>
    <n v="44711"/>
    <n v="382396"/>
    <s v="30"/>
    <s v=" "/>
    <n v="0.09"/>
    <x v="3"/>
  </r>
  <r>
    <x v="1"/>
    <x v="1"/>
    <x v="1"/>
    <x v="0"/>
    <n v="44710"/>
    <n v="382395"/>
    <s v="29"/>
    <s v=" "/>
    <n v="0.09"/>
    <x v="3"/>
  </r>
  <r>
    <x v="1"/>
    <x v="1"/>
    <x v="1"/>
    <x v="0"/>
    <n v="44712"/>
    <n v="382399"/>
    <s v="Utgående faktura"/>
    <s v=" "/>
    <n v="-0.34"/>
    <x v="3"/>
  </r>
  <r>
    <x v="1"/>
    <x v="1"/>
    <x v="1"/>
    <x v="2"/>
    <n v="44713"/>
    <n v="382413"/>
    <s v="1"/>
    <s v=" "/>
    <n v="0.06"/>
    <x v="3"/>
  </r>
  <r>
    <x v="1"/>
    <x v="1"/>
    <x v="1"/>
    <x v="2"/>
    <n v="44714"/>
    <n v="382422"/>
    <s v="2"/>
    <s v=" "/>
    <n v="0.15"/>
    <x v="3"/>
  </r>
  <r>
    <x v="1"/>
    <x v="1"/>
    <x v="1"/>
    <x v="2"/>
    <n v="44717"/>
    <n v="382424"/>
    <s v="5"/>
    <s v=" "/>
    <n v="-0.87"/>
    <x v="3"/>
  </r>
  <r>
    <x v="1"/>
    <x v="1"/>
    <x v="1"/>
    <x v="2"/>
    <n v="44718"/>
    <n v="382417"/>
    <s v="6"/>
    <s v=" "/>
    <n v="0.28000000000000003"/>
    <x v="3"/>
  </r>
  <r>
    <x v="1"/>
    <x v="1"/>
    <x v="1"/>
    <x v="3"/>
    <n v="44615"/>
    <n v="382204"/>
    <s v="23"/>
    <s v=" "/>
    <n v="0.49"/>
    <x v="3"/>
  </r>
  <r>
    <x v="1"/>
    <x v="1"/>
    <x v="1"/>
    <x v="3"/>
    <n v="44616"/>
    <n v="382203"/>
    <s v="24"/>
    <s v=" "/>
    <n v="0.27"/>
    <x v="3"/>
  </r>
  <r>
    <x v="1"/>
    <x v="1"/>
    <x v="1"/>
    <x v="3"/>
    <n v="44617"/>
    <n v="382202"/>
    <s v="25"/>
    <s v=" "/>
    <n v="0.68"/>
    <x v="3"/>
  </r>
  <r>
    <x v="1"/>
    <x v="1"/>
    <x v="1"/>
    <x v="3"/>
    <n v="44618"/>
    <n v="382201"/>
    <s v="26"/>
    <s v=" "/>
    <n v="-0.25"/>
    <x v="3"/>
  </r>
  <r>
    <x v="1"/>
    <x v="1"/>
    <x v="1"/>
    <x v="3"/>
    <n v="44613"/>
    <n v="382191"/>
    <s v="21"/>
    <s v=" "/>
    <n v="0.14000000000000001"/>
    <x v="3"/>
  </r>
  <r>
    <x v="1"/>
    <x v="1"/>
    <x v="1"/>
    <x v="3"/>
    <n v="44619"/>
    <n v="382200"/>
    <s v="Utgående faktura"/>
    <s v=" "/>
    <n v="0.25"/>
    <x v="3"/>
  </r>
  <r>
    <x v="1"/>
    <x v="1"/>
    <x v="1"/>
    <x v="3"/>
    <n v="44610"/>
    <n v="382188"/>
    <s v="18"/>
    <s v=" "/>
    <n v="-0.23"/>
    <x v="3"/>
  </r>
  <r>
    <x v="1"/>
    <x v="1"/>
    <x v="1"/>
    <x v="3"/>
    <n v="44614"/>
    <n v="382205"/>
    <s v="22"/>
    <s v=" "/>
    <n v="0.3"/>
    <x v="3"/>
  </r>
  <r>
    <x v="1"/>
    <x v="1"/>
    <x v="1"/>
    <x v="3"/>
    <n v="44620"/>
    <n v="382199"/>
    <s v="Utgående faktura"/>
    <s v=" "/>
    <n v="0.75"/>
    <x v="3"/>
  </r>
  <r>
    <x v="1"/>
    <x v="1"/>
    <x v="1"/>
    <x v="11"/>
    <n v="44621"/>
    <n v="382219"/>
    <s v="1"/>
    <s v=" "/>
    <n v="0.72"/>
    <x v="3"/>
  </r>
  <r>
    <x v="1"/>
    <x v="1"/>
    <x v="1"/>
    <x v="11"/>
    <n v="44622"/>
    <n v="382220"/>
    <s v="2"/>
    <s v=" "/>
    <n v="0.52"/>
    <x v="3"/>
  </r>
  <r>
    <x v="1"/>
    <x v="1"/>
    <x v="1"/>
    <x v="11"/>
    <n v="44629"/>
    <n v="382230"/>
    <s v="9"/>
    <s v=" "/>
    <n v="-0.17"/>
    <x v="3"/>
  </r>
  <r>
    <x v="1"/>
    <x v="1"/>
    <x v="1"/>
    <x v="11"/>
    <n v="44630"/>
    <n v="382231"/>
    <s v="Utgående faktura"/>
    <s v=" "/>
    <n v="-0.01"/>
    <x v="3"/>
  </r>
  <r>
    <x v="1"/>
    <x v="1"/>
    <x v="1"/>
    <x v="11"/>
    <n v="44631"/>
    <n v="382232"/>
    <s v="11"/>
    <s v=" "/>
    <n v="-0.26"/>
    <x v="3"/>
  </r>
  <r>
    <x v="1"/>
    <x v="1"/>
    <x v="1"/>
    <x v="11"/>
    <n v="44623"/>
    <n v="382221"/>
    <s v="3"/>
    <s v=" "/>
    <n v="-0.26"/>
    <x v="3"/>
  </r>
  <r>
    <x v="1"/>
    <x v="1"/>
    <x v="1"/>
    <x v="11"/>
    <n v="44628"/>
    <n v="382229"/>
    <s v="8"/>
    <s v=" "/>
    <n v="-0.26"/>
    <x v="3"/>
  </r>
  <r>
    <x v="1"/>
    <x v="1"/>
    <x v="1"/>
    <x v="11"/>
    <n v="44624"/>
    <n v="382222"/>
    <s v="4"/>
    <s v=" "/>
    <n v="0.36"/>
    <x v="3"/>
  </r>
  <r>
    <x v="1"/>
    <x v="1"/>
    <x v="1"/>
    <x v="11"/>
    <n v="44625"/>
    <n v="382223"/>
    <s v="5"/>
    <s v=" "/>
    <n v="0.22"/>
    <x v="3"/>
  </r>
  <r>
    <x v="1"/>
    <x v="1"/>
    <x v="1"/>
    <x v="11"/>
    <n v="44626"/>
    <n v="382224"/>
    <s v="6"/>
    <s v=" "/>
    <n v="0.46"/>
    <x v="3"/>
  </r>
  <r>
    <x v="1"/>
    <x v="1"/>
    <x v="1"/>
    <x v="11"/>
    <n v="44627"/>
    <n v="382228"/>
    <s v="7"/>
    <s v=" "/>
    <n v="0.76"/>
    <x v="3"/>
  </r>
  <r>
    <x v="1"/>
    <x v="1"/>
    <x v="1"/>
    <x v="11"/>
    <n v="44633"/>
    <n v="382234"/>
    <s v="13"/>
    <s v=" "/>
    <n v="-1.08"/>
    <x v="3"/>
  </r>
  <r>
    <x v="1"/>
    <x v="1"/>
    <x v="1"/>
    <x v="3"/>
    <n v="44605"/>
    <n v="382183"/>
    <s v="13"/>
    <s v=" "/>
    <n v="-0.12"/>
    <x v="3"/>
  </r>
  <r>
    <x v="1"/>
    <x v="1"/>
    <x v="1"/>
    <x v="3"/>
    <n v="44606"/>
    <n v="382184"/>
    <s v="14"/>
    <s v=" "/>
    <n v="0.91"/>
    <x v="3"/>
  </r>
  <r>
    <x v="1"/>
    <x v="1"/>
    <x v="1"/>
    <x v="3"/>
    <n v="44607"/>
    <n v="382185"/>
    <s v="15"/>
    <s v=" "/>
    <n v="0.74"/>
    <x v="3"/>
  </r>
  <r>
    <x v="1"/>
    <x v="1"/>
    <x v="1"/>
    <x v="3"/>
    <n v="44608"/>
    <n v="382186"/>
    <s v="16"/>
    <s v=" "/>
    <n v="0.38"/>
    <x v="3"/>
  </r>
  <r>
    <x v="1"/>
    <x v="1"/>
    <x v="1"/>
    <x v="3"/>
    <n v="44609"/>
    <n v="382187"/>
    <s v="17"/>
    <s v=" "/>
    <n v="1"/>
    <x v="3"/>
  </r>
  <r>
    <x v="1"/>
    <x v="1"/>
    <x v="1"/>
    <x v="3"/>
    <n v="44603"/>
    <n v="382172"/>
    <s v="11"/>
    <s v=" "/>
    <n v="0.19"/>
    <x v="3"/>
  </r>
  <r>
    <x v="1"/>
    <x v="1"/>
    <x v="1"/>
    <x v="3"/>
    <n v="44604"/>
    <n v="382173"/>
    <s v="12"/>
    <s v=" "/>
    <n v="0.47"/>
    <x v="3"/>
  </r>
  <r>
    <x v="1"/>
    <x v="1"/>
    <x v="1"/>
    <x v="5"/>
    <n v="44592"/>
    <n v="382143"/>
    <s v="Utgående faktura"/>
    <s v=" "/>
    <n v="0.22"/>
    <x v="3"/>
  </r>
  <r>
    <x v="1"/>
    <x v="1"/>
    <x v="1"/>
    <x v="3"/>
    <n v="44611"/>
    <n v="382189"/>
    <s v="19"/>
    <s v=" "/>
    <n v="-0.14000000000000001"/>
    <x v="3"/>
  </r>
  <r>
    <x v="1"/>
    <x v="1"/>
    <x v="1"/>
    <x v="3"/>
    <n v="44612"/>
    <n v="382190"/>
    <s v="20"/>
    <s v=" "/>
    <n v="0.25"/>
    <x v="3"/>
  </r>
  <r>
    <x v="1"/>
    <x v="1"/>
    <x v="1"/>
    <x v="3"/>
    <n v="44602"/>
    <n v="382171"/>
    <s v="10"/>
    <s v=" "/>
    <n v="0.45"/>
    <x v="3"/>
  </r>
  <r>
    <x v="1"/>
    <x v="1"/>
    <x v="1"/>
    <x v="3"/>
    <n v="44600"/>
    <n v="382169"/>
    <s v="8"/>
    <s v=" "/>
    <n v="-0.47"/>
    <x v="3"/>
  </r>
  <r>
    <x v="1"/>
    <x v="1"/>
    <x v="1"/>
    <x v="3"/>
    <n v="44601"/>
    <n v="382170"/>
    <s v="9"/>
    <s v=" "/>
    <n v="0.47"/>
    <x v="3"/>
  </r>
  <r>
    <x v="1"/>
    <x v="1"/>
    <x v="1"/>
    <x v="3"/>
    <n v="44596"/>
    <n v="382165"/>
    <s v="4"/>
    <s v=" "/>
    <n v="-0.13"/>
    <x v="3"/>
  </r>
  <r>
    <x v="1"/>
    <x v="1"/>
    <x v="1"/>
    <x v="5"/>
    <n v="44587"/>
    <n v="382136"/>
    <s v="26"/>
    <s v=" "/>
    <n v="0.36"/>
    <x v="3"/>
  </r>
  <r>
    <x v="1"/>
    <x v="1"/>
    <x v="1"/>
    <x v="5"/>
    <n v="44589"/>
    <n v="382146"/>
    <s v="28"/>
    <s v=" "/>
    <n v="0.55000000000000004"/>
    <x v="3"/>
  </r>
  <r>
    <x v="1"/>
    <x v="1"/>
    <x v="1"/>
    <x v="5"/>
    <n v="44590"/>
    <n v="382145"/>
    <s v="29"/>
    <s v=" "/>
    <n v="-0.22"/>
    <x v="3"/>
  </r>
  <r>
    <x v="1"/>
    <x v="1"/>
    <x v="1"/>
    <x v="5"/>
    <n v="44591"/>
    <n v="382144"/>
    <s v="Utgående faktura"/>
    <s v=" "/>
    <n v="-0.09"/>
    <x v="3"/>
  </r>
  <r>
    <x v="1"/>
    <x v="1"/>
    <x v="1"/>
    <x v="5"/>
    <n v="44588"/>
    <n v="382147"/>
    <s v="27"/>
    <s v=" "/>
    <n v="-0.03"/>
    <x v="3"/>
  </r>
  <r>
    <x v="1"/>
    <x v="1"/>
    <x v="1"/>
    <x v="3"/>
    <n v="44597"/>
    <n v="382166"/>
    <s v="5"/>
    <s v=" "/>
    <n v="1.07"/>
    <x v="3"/>
  </r>
  <r>
    <x v="1"/>
    <x v="1"/>
    <x v="1"/>
    <x v="3"/>
    <n v="44595"/>
    <n v="382164"/>
    <s v="3"/>
    <s v=" "/>
    <n v="-0.04"/>
    <x v="3"/>
  </r>
  <r>
    <x v="1"/>
    <x v="1"/>
    <x v="1"/>
    <x v="3"/>
    <n v="44593"/>
    <n v="382162"/>
    <s v="1"/>
    <s v=" "/>
    <n v="0.39"/>
    <x v="3"/>
  </r>
  <r>
    <x v="1"/>
    <x v="1"/>
    <x v="1"/>
    <x v="3"/>
    <n v="44594"/>
    <n v="382163"/>
    <s v="2"/>
    <s v=" "/>
    <n v="0.56999999999999995"/>
    <x v="3"/>
  </r>
  <r>
    <x v="1"/>
    <x v="1"/>
    <x v="1"/>
    <x v="3"/>
    <n v="44598"/>
    <n v="382167"/>
    <s v="6"/>
    <s v=" "/>
    <n v="0.31"/>
    <x v="3"/>
  </r>
  <r>
    <x v="1"/>
    <x v="1"/>
    <x v="1"/>
    <x v="3"/>
    <n v="44599"/>
    <n v="382168"/>
    <s v="7"/>
    <s v=" "/>
    <n v="0.94"/>
    <x v="3"/>
  </r>
  <r>
    <x v="1"/>
    <x v="1"/>
    <x v="1"/>
    <x v="5"/>
    <n v="44580"/>
    <n v="382129"/>
    <s v="19"/>
    <s v=" "/>
    <n v="0.27"/>
    <x v="3"/>
  </r>
  <r>
    <x v="1"/>
    <x v="1"/>
    <x v="1"/>
    <x v="5"/>
    <n v="44581"/>
    <n v="382130"/>
    <s v="20"/>
    <s v=" "/>
    <n v="-0.42"/>
    <x v="3"/>
  </r>
  <r>
    <x v="1"/>
    <x v="1"/>
    <x v="1"/>
    <x v="5"/>
    <n v="44562"/>
    <n v="382090"/>
    <s v="1"/>
    <s v=" "/>
    <n v="-0.3"/>
    <x v="3"/>
  </r>
  <r>
    <x v="1"/>
    <x v="1"/>
    <x v="1"/>
    <x v="5"/>
    <n v="44564"/>
    <n v="382092"/>
    <s v="3"/>
    <s v=" "/>
    <n v="0.34"/>
    <x v="3"/>
  </r>
  <r>
    <x v="1"/>
    <x v="1"/>
    <x v="1"/>
    <x v="5"/>
    <n v="44584"/>
    <n v="382133"/>
    <s v="23"/>
    <s v=" "/>
    <n v="-0.21"/>
    <x v="3"/>
  </r>
  <r>
    <x v="1"/>
    <x v="1"/>
    <x v="1"/>
    <x v="5"/>
    <n v="44579"/>
    <n v="382107"/>
    <s v="18"/>
    <s v=" "/>
    <n v="0.7"/>
    <x v="3"/>
  </r>
  <r>
    <x v="1"/>
    <x v="1"/>
    <x v="1"/>
    <x v="5"/>
    <n v="44585"/>
    <n v="382134"/>
    <s v="24"/>
    <s v=" "/>
    <n v="0.15"/>
    <x v="3"/>
  </r>
  <r>
    <x v="1"/>
    <x v="1"/>
    <x v="1"/>
    <x v="5"/>
    <n v="44586"/>
    <n v="382135"/>
    <s v="25"/>
    <s v=" "/>
    <n v="0.45"/>
    <x v="3"/>
  </r>
  <r>
    <x v="1"/>
    <x v="1"/>
    <x v="1"/>
    <x v="5"/>
    <n v="44578"/>
    <n v="382108"/>
    <s v="17"/>
    <s v=" "/>
    <n v="0.61"/>
    <x v="3"/>
  </r>
  <r>
    <x v="1"/>
    <x v="1"/>
    <x v="1"/>
    <x v="5"/>
    <n v="44565"/>
    <n v="382121"/>
    <s v="4"/>
    <s v=" "/>
    <n v="0.16"/>
    <x v="3"/>
  </r>
  <r>
    <x v="1"/>
    <x v="1"/>
    <x v="1"/>
    <x v="5"/>
    <n v="44566"/>
    <n v="382120"/>
    <s v="5"/>
    <s v=" "/>
    <n v="-0.24"/>
    <x v="3"/>
  </r>
  <r>
    <x v="1"/>
    <x v="1"/>
    <x v="1"/>
    <x v="5"/>
    <n v="44567"/>
    <n v="382119"/>
    <s v="6"/>
    <s v=" "/>
    <n v="0.72"/>
    <x v="3"/>
  </r>
  <r>
    <x v="1"/>
    <x v="1"/>
    <x v="1"/>
    <x v="5"/>
    <n v="44568"/>
    <n v="382118"/>
    <s v="7"/>
    <s v=" "/>
    <n v="0.36"/>
    <x v="3"/>
  </r>
  <r>
    <x v="1"/>
    <x v="1"/>
    <x v="1"/>
    <x v="5"/>
    <n v="44569"/>
    <n v="382117"/>
    <s v="8"/>
    <s v=" "/>
    <n v="0.12"/>
    <x v="3"/>
  </r>
  <r>
    <x v="1"/>
    <x v="1"/>
    <x v="1"/>
    <x v="5"/>
    <n v="44570"/>
    <n v="382116"/>
    <s v="9"/>
    <s v=" "/>
    <n v="0.33"/>
    <x v="3"/>
  </r>
  <r>
    <x v="1"/>
    <x v="1"/>
    <x v="1"/>
    <x v="5"/>
    <n v="44571"/>
    <n v="382115"/>
    <s v="10"/>
    <s v=" "/>
    <n v="0.03"/>
    <x v="3"/>
  </r>
  <r>
    <x v="1"/>
    <x v="1"/>
    <x v="1"/>
    <x v="5"/>
    <n v="44572"/>
    <n v="382114"/>
    <s v="11"/>
    <s v=" "/>
    <n v="0.19"/>
    <x v="3"/>
  </r>
  <r>
    <x v="1"/>
    <x v="1"/>
    <x v="1"/>
    <x v="5"/>
    <n v="44573"/>
    <n v="382113"/>
    <s v="12"/>
    <s v=" "/>
    <n v="0.51"/>
    <x v="3"/>
  </r>
  <r>
    <x v="1"/>
    <x v="1"/>
    <x v="1"/>
    <x v="5"/>
    <n v="44563"/>
    <n v="382091"/>
    <s v="2"/>
    <s v=" "/>
    <n v="0.03"/>
    <x v="3"/>
  </r>
  <r>
    <x v="1"/>
    <x v="1"/>
    <x v="1"/>
    <x v="5"/>
    <n v="44576"/>
    <n v="382110"/>
    <s v="15"/>
    <s v=" "/>
    <n v="-0.15"/>
    <x v="3"/>
  </r>
  <r>
    <x v="1"/>
    <x v="1"/>
    <x v="1"/>
    <x v="5"/>
    <n v="44577"/>
    <n v="382109"/>
    <s v="16"/>
    <s v=" "/>
    <n v="-0.33"/>
    <x v="3"/>
  </r>
  <r>
    <x v="1"/>
    <x v="1"/>
    <x v="1"/>
    <x v="5"/>
    <n v="44575"/>
    <n v="382111"/>
    <s v="14"/>
    <s v=" "/>
    <n v="-0.24"/>
    <x v="3"/>
  </r>
  <r>
    <x v="1"/>
    <x v="1"/>
    <x v="1"/>
    <x v="5"/>
    <n v="44583"/>
    <n v="382132"/>
    <s v="22"/>
    <s v=" "/>
    <n v="-0.09"/>
    <x v="3"/>
  </r>
  <r>
    <x v="1"/>
    <x v="1"/>
    <x v="1"/>
    <x v="5"/>
    <n v="44582"/>
    <n v="382131"/>
    <s v="21"/>
    <s v=" "/>
    <n v="0.38"/>
    <x v="3"/>
  </r>
  <r>
    <x v="1"/>
    <x v="1"/>
    <x v="1"/>
    <x v="6"/>
    <n v="44896"/>
    <n v="382834"/>
    <s v="1"/>
    <s v="Bilagsnr 10 er brukt tidligere"/>
    <n v="-0.33"/>
    <x v="3"/>
  </r>
  <r>
    <x v="1"/>
    <x v="1"/>
    <x v="1"/>
    <x v="6"/>
    <n v="44901"/>
    <n v="382848"/>
    <s v="6"/>
    <s v="Bilagsnr 10 er brukt tidligere"/>
    <n v="0.85"/>
    <x v="3"/>
  </r>
  <r>
    <x v="1"/>
    <x v="1"/>
    <x v="1"/>
    <x v="6"/>
    <n v="44902"/>
    <n v="382849"/>
    <s v="7"/>
    <s v="Bilagsnr 10 er brukt tidligere"/>
    <n v="0.82"/>
    <x v="3"/>
  </r>
  <r>
    <x v="1"/>
    <x v="1"/>
    <x v="1"/>
    <x v="6"/>
    <n v="44907"/>
    <n v="382855"/>
    <s v="12"/>
    <s v="Bilagsnr 10 er brukt tidligere"/>
    <n v="-0.04"/>
    <x v="3"/>
  </r>
  <r>
    <x v="1"/>
    <x v="1"/>
    <x v="1"/>
    <x v="6"/>
    <n v="44911"/>
    <n v="382866"/>
    <s v="16"/>
    <s v="Bilagsnr 10 er brukt tidligere"/>
    <n v="-0.22"/>
    <x v="3"/>
  </r>
  <r>
    <x v="1"/>
    <x v="1"/>
    <x v="1"/>
    <x v="6"/>
    <n v="44912"/>
    <n v="382869"/>
    <s v="17"/>
    <s v="Bilagsnr 10 er brukt tidligere"/>
    <n v="0.22"/>
    <x v="3"/>
  </r>
  <r>
    <x v="1"/>
    <x v="1"/>
    <x v="1"/>
    <x v="6"/>
    <n v="44914"/>
    <n v="382868"/>
    <s v="19"/>
    <s v="Bilagsnr 10 er brukt tidligere"/>
    <n v="0.24"/>
    <x v="3"/>
  </r>
  <r>
    <x v="1"/>
    <x v="1"/>
    <x v="1"/>
    <x v="6"/>
    <n v="44913"/>
    <n v="382867"/>
    <s v="18"/>
    <s v="Bilagsnr 10 er brukt tidligere"/>
    <n v="-0.28000000000000003"/>
    <x v="3"/>
  </r>
  <r>
    <x v="1"/>
    <x v="1"/>
    <x v="1"/>
    <x v="6"/>
    <n v="44920"/>
    <n v="382883"/>
    <s v="25"/>
    <s v="Bilagsnr 10 er brukt tidligere"/>
    <n v="0.24"/>
    <x v="3"/>
  </r>
  <r>
    <x v="1"/>
    <x v="1"/>
    <x v="1"/>
    <x v="6"/>
    <n v="44921"/>
    <n v="382884"/>
    <s v="26"/>
    <s v="Bilagsnr 10 er brukt tidligere"/>
    <n v="7.0000000000000007E-2"/>
    <x v="3"/>
  </r>
  <r>
    <x v="1"/>
    <x v="1"/>
    <x v="1"/>
    <x v="6"/>
    <n v="44922"/>
    <n v="382885"/>
    <s v="27"/>
    <s v="Bilagsnr 10 er brukt tidligere"/>
    <n v="0.38"/>
    <x v="3"/>
  </r>
  <r>
    <x v="1"/>
    <x v="1"/>
    <x v="1"/>
    <x v="6"/>
    <n v="44923"/>
    <n v="382895"/>
    <s v="28"/>
    <s v="Bilagsnr 10 er brukt tidligere"/>
    <n v="0.52"/>
    <x v="3"/>
  </r>
  <r>
    <x v="1"/>
    <x v="1"/>
    <x v="1"/>
    <x v="6"/>
    <n v="44924"/>
    <n v="382896"/>
    <s v="29"/>
    <s v="Bilagsnr 10 er brukt tidligere"/>
    <n v="0.77"/>
    <x v="3"/>
  </r>
  <r>
    <x v="1"/>
    <x v="1"/>
    <x v="1"/>
    <x v="6"/>
    <n v="44925"/>
    <n v="382897"/>
    <s v="30"/>
    <s v="Bilagsnr 10 er brukt tidligere"/>
    <n v="-0.01"/>
    <x v="3"/>
  </r>
  <r>
    <x v="1"/>
    <x v="1"/>
    <x v="1"/>
    <x v="6"/>
    <n v="44926"/>
    <n v="382898"/>
    <s v="31"/>
    <s v="Bilagsnr 10 er brukt tidligere"/>
    <n v="-0.09"/>
    <x v="3"/>
  </r>
  <r>
    <x v="1"/>
    <x v="1"/>
    <x v="1"/>
    <x v="6"/>
    <n v="44916"/>
    <n v="382879"/>
    <s v="21"/>
    <s v="Bilagsnr 10 er brukt tidligere"/>
    <n v="-0.64"/>
    <x v="3"/>
  </r>
  <r>
    <x v="1"/>
    <x v="1"/>
    <x v="1"/>
    <x v="6"/>
    <n v="44917"/>
    <n v="382880"/>
    <s v="22"/>
    <s v="Bilagsnr 10 er brukt tidligere"/>
    <n v="0.13"/>
    <x v="3"/>
  </r>
  <r>
    <x v="1"/>
    <x v="1"/>
    <x v="1"/>
    <x v="6"/>
    <n v="44909"/>
    <n v="382864"/>
    <s v="14"/>
    <s v="Bilagsnr 10 er brukt tidligere"/>
    <n v="0.43"/>
    <x v="3"/>
  </r>
  <r>
    <x v="1"/>
    <x v="1"/>
    <x v="1"/>
    <x v="6"/>
    <n v="44910"/>
    <n v="382865"/>
    <s v="15"/>
    <s v="Bilagsnr 10 er brukt tidligere"/>
    <n v="0.33"/>
    <x v="3"/>
  </r>
  <r>
    <x v="1"/>
    <x v="1"/>
    <x v="1"/>
    <x v="6"/>
    <n v="44918"/>
    <n v="382881"/>
    <s v="23"/>
    <s v="Bilagsnr 10 er brukt tidligere"/>
    <n v="0.15"/>
    <x v="3"/>
  </r>
  <r>
    <x v="1"/>
    <x v="1"/>
    <x v="1"/>
    <x v="6"/>
    <n v="44919"/>
    <n v="382882"/>
    <s v="24"/>
    <s v="Bilagsnr 10 er brukt tidligere"/>
    <n v="0.12"/>
    <x v="3"/>
  </r>
  <r>
    <x v="1"/>
    <x v="1"/>
    <x v="1"/>
    <x v="6"/>
    <n v="44899"/>
    <n v="382836"/>
    <s v="4"/>
    <s v="Bilagsnr 10 er brukt tidligere"/>
    <n v="0.51"/>
    <x v="3"/>
  </r>
  <r>
    <x v="1"/>
    <x v="1"/>
    <x v="1"/>
    <x v="6"/>
    <n v="44900"/>
    <n v="382837"/>
    <s v="5"/>
    <s v="Bilagsnr 10 er brukt tidligere"/>
    <n v="0.13"/>
    <x v="3"/>
  </r>
  <r>
    <x v="1"/>
    <x v="1"/>
    <x v="1"/>
    <x v="6"/>
    <n v="44897"/>
    <n v="382835"/>
    <s v="2"/>
    <s v="Bilagsnr 10 er brukt tidligere"/>
    <n v="-0.08"/>
    <x v="3"/>
  </r>
  <r>
    <x v="1"/>
    <x v="1"/>
    <x v="1"/>
    <x v="6"/>
    <n v="44898"/>
    <n v="382838"/>
    <s v="3"/>
    <s v="Bilagsnr 10 er brukt tidligere"/>
    <n v="0.16"/>
    <x v="3"/>
  </r>
  <r>
    <x v="1"/>
    <x v="1"/>
    <x v="1"/>
    <x v="10"/>
    <n v="44865"/>
    <n v="700088"/>
    <s v="Avgiftsoppgave"/>
    <s v=" "/>
    <n v="0.92"/>
    <x v="3"/>
  </r>
  <r>
    <x v="1"/>
    <x v="1"/>
    <x v="1"/>
    <x v="9"/>
    <n v="44866"/>
    <n v="382798"/>
    <s v="1"/>
    <s v="Bilagsnr 10 er brukt tidligere"/>
    <n v="0.17"/>
    <x v="3"/>
  </r>
  <r>
    <x v="1"/>
    <x v="1"/>
    <x v="1"/>
    <x v="9"/>
    <n v="44867"/>
    <n v="382799"/>
    <s v="2"/>
    <s v="Bilagsnr 10 er brukt tidligere"/>
    <n v="0.05"/>
    <x v="3"/>
  </r>
  <r>
    <x v="1"/>
    <x v="1"/>
    <x v="1"/>
    <x v="9"/>
    <n v="44868"/>
    <n v="382800"/>
    <s v="3"/>
    <s v="Bilagsnr 10 er brukt tidligere"/>
    <n v="0.85"/>
    <x v="3"/>
  </r>
  <r>
    <x v="1"/>
    <x v="1"/>
    <x v="1"/>
    <x v="9"/>
    <n v="44869"/>
    <n v="382801"/>
    <s v="4"/>
    <s v="Bilagsnr 10 er brukt tidligere"/>
    <n v="0.9"/>
    <x v="3"/>
  </r>
  <r>
    <x v="1"/>
    <x v="1"/>
    <x v="1"/>
    <x v="9"/>
    <n v="44870"/>
    <n v="382802"/>
    <s v="5"/>
    <s v="Bilagsnr 10 er brukt tidligere"/>
    <n v="0.15"/>
    <x v="3"/>
  </r>
  <r>
    <x v="1"/>
    <x v="1"/>
    <x v="1"/>
    <x v="9"/>
    <n v="44871"/>
    <n v="382803"/>
    <s v="6"/>
    <s v="Bilagsnr 10 er brukt tidligere"/>
    <n v="0.5"/>
    <x v="3"/>
  </r>
  <r>
    <x v="1"/>
    <x v="1"/>
    <x v="1"/>
    <x v="9"/>
    <n v="44872"/>
    <n v="382804"/>
    <s v="7"/>
    <s v="Bilagsnr 10 er brukt tidligere"/>
    <n v="0.45"/>
    <x v="3"/>
  </r>
  <r>
    <x v="1"/>
    <x v="1"/>
    <x v="1"/>
    <x v="9"/>
    <n v="44873"/>
    <n v="382805"/>
    <s v="8"/>
    <s v="Bilagsnr 10 er brukt tidligere"/>
    <n v="0.37"/>
    <x v="3"/>
  </r>
  <r>
    <x v="1"/>
    <x v="1"/>
    <x v="1"/>
    <x v="9"/>
    <n v="44874"/>
    <n v="382806"/>
    <s v="9"/>
    <s v="Bilagsnr 10 er brukt tidligere"/>
    <n v="-0.02"/>
    <x v="3"/>
  </r>
  <r>
    <x v="1"/>
    <x v="1"/>
    <x v="1"/>
    <x v="9"/>
    <n v="44875"/>
    <n v="382807"/>
    <s v="10"/>
    <s v="Bilagsnr 10 er brukt tidligere"/>
    <n v="-0.54"/>
    <x v="3"/>
  </r>
  <r>
    <x v="1"/>
    <x v="1"/>
    <x v="1"/>
    <x v="9"/>
    <n v="44876"/>
    <n v="382808"/>
    <s v="11"/>
    <s v="Bilagsnr 10 er brukt tidligere"/>
    <n v="0.35"/>
    <x v="3"/>
  </r>
  <r>
    <x v="1"/>
    <x v="1"/>
    <x v="1"/>
    <x v="9"/>
    <n v="44877"/>
    <n v="382809"/>
    <s v="12"/>
    <s v="Bilagsnr 10 er brukt tidligere"/>
    <n v="-0.74"/>
    <x v="3"/>
  </r>
  <r>
    <x v="1"/>
    <x v="1"/>
    <x v="1"/>
    <x v="9"/>
    <n v="44878"/>
    <n v="382810"/>
    <s v="13"/>
    <s v="Bilagsnr 10 er brukt tidligere"/>
    <n v="0.31"/>
    <x v="3"/>
  </r>
  <r>
    <x v="1"/>
    <x v="1"/>
    <x v="1"/>
    <x v="9"/>
    <n v="44879"/>
    <n v="382811"/>
    <s v="14"/>
    <s v="Bilagsnr 10 er brukt tidligere"/>
    <n v="0.65"/>
    <x v="3"/>
  </r>
  <r>
    <x v="1"/>
    <x v="1"/>
    <x v="1"/>
    <x v="9"/>
    <n v="44880"/>
    <n v="382812"/>
    <s v="15"/>
    <s v="Bilagsnr 10 er brukt tidligere"/>
    <n v="0.92"/>
    <x v="3"/>
  </r>
  <r>
    <x v="1"/>
    <x v="1"/>
    <x v="1"/>
    <x v="9"/>
    <n v="44881"/>
    <n v="382813"/>
    <s v="16"/>
    <s v="Bilagsnr 10 er brukt tidligere"/>
    <n v="0.54"/>
    <x v="3"/>
  </r>
  <r>
    <x v="1"/>
    <x v="1"/>
    <x v="1"/>
    <x v="9"/>
    <n v="44882"/>
    <n v="382814"/>
    <s v="17"/>
    <s v="Bilagsnr 10 er brukt tidligere"/>
    <n v="0.96"/>
    <x v="3"/>
  </r>
  <r>
    <x v="1"/>
    <x v="1"/>
    <x v="1"/>
    <x v="9"/>
    <n v="44883"/>
    <n v="382815"/>
    <s v="18"/>
    <s v="Bilagsnr 10 er brukt tidligere"/>
    <n v="1.25"/>
    <x v="3"/>
  </r>
  <r>
    <x v="1"/>
    <x v="1"/>
    <x v="1"/>
    <x v="9"/>
    <n v="44884"/>
    <n v="382816"/>
    <s v="19"/>
    <s v="Bilagsnr 10 er brukt tidligere"/>
    <n v="7.0000000000000007E-2"/>
    <x v="3"/>
  </r>
  <r>
    <x v="1"/>
    <x v="1"/>
    <x v="1"/>
    <x v="9"/>
    <n v="44885"/>
    <n v="382817"/>
    <s v="20"/>
    <s v="Bilagsnr 10 er brukt tidligere"/>
    <n v="-0.21"/>
    <x v="3"/>
  </r>
  <r>
    <x v="1"/>
    <x v="1"/>
    <x v="1"/>
    <x v="9"/>
    <n v="44886"/>
    <n v="382818"/>
    <s v="Utgående faktura"/>
    <s v="Bilagsnr 10 er brukt tidligere"/>
    <n v="0.84"/>
    <x v="3"/>
  </r>
  <r>
    <x v="1"/>
    <x v="1"/>
    <x v="1"/>
    <x v="9"/>
    <n v="44887"/>
    <n v="382819"/>
    <s v="22"/>
    <s v="Bilagsnr 10 er brukt tidligere"/>
    <n v="0.34"/>
    <x v="3"/>
  </r>
  <r>
    <x v="1"/>
    <x v="1"/>
    <x v="1"/>
    <x v="9"/>
    <n v="44888"/>
    <n v="382820"/>
    <s v="23"/>
    <s v="Bilagsnr 10 er brukt tidligere"/>
    <n v="-0.04"/>
    <x v="3"/>
  </r>
  <r>
    <x v="1"/>
    <x v="1"/>
    <x v="1"/>
    <x v="9"/>
    <n v="44889"/>
    <n v="382821"/>
    <s v="24"/>
    <s v="Bilagsnr 10 er brukt tidligere"/>
    <n v="0.56000000000000005"/>
    <x v="3"/>
  </r>
  <r>
    <x v="1"/>
    <x v="1"/>
    <x v="1"/>
    <x v="9"/>
    <n v="44890"/>
    <n v="382822"/>
    <s v="25"/>
    <s v="Bilagsnr 10 er brukt tidligere"/>
    <n v="-0.45"/>
    <x v="3"/>
  </r>
  <r>
    <x v="1"/>
    <x v="1"/>
    <x v="1"/>
    <x v="9"/>
    <n v="44891"/>
    <n v="382823"/>
    <s v="26"/>
    <s v="Bilagsnr 10 er brukt tidligere"/>
    <n v="-0.78"/>
    <x v="3"/>
  </r>
  <r>
    <x v="1"/>
    <x v="1"/>
    <x v="1"/>
    <x v="9"/>
    <n v="44892"/>
    <n v="382824"/>
    <s v="27"/>
    <s v="Bilagsnr 10 er brukt tidligere"/>
    <n v="0.52"/>
    <x v="3"/>
  </r>
  <r>
    <x v="1"/>
    <x v="1"/>
    <x v="1"/>
    <x v="9"/>
    <n v="44893"/>
    <n v="382825"/>
    <s v="28"/>
    <s v="Bilagsnr 10 er brukt tidligere"/>
    <n v="1.21"/>
    <x v="3"/>
  </r>
  <r>
    <x v="1"/>
    <x v="1"/>
    <x v="1"/>
    <x v="9"/>
    <n v="44894"/>
    <n v="382826"/>
    <s v="29"/>
    <s v="Bilagsnr 10 er brukt tidligere"/>
    <n v="-0.12"/>
    <x v="3"/>
  </r>
  <r>
    <x v="1"/>
    <x v="1"/>
    <x v="1"/>
    <x v="9"/>
    <n v="44895"/>
    <n v="382827"/>
    <s v="30"/>
    <s v="Bilagsnr 10 er brukt tidligere"/>
    <n v="0.89"/>
    <x v="3"/>
  </r>
  <r>
    <x v="1"/>
    <x v="1"/>
    <x v="1"/>
    <x v="6"/>
    <n v="44903"/>
    <n v="382853"/>
    <s v="8"/>
    <s v="Bilagsnr 10 er brukt tidligere"/>
    <n v="-0.41"/>
    <x v="3"/>
  </r>
  <r>
    <x v="1"/>
    <x v="1"/>
    <x v="1"/>
    <x v="6"/>
    <n v="44904"/>
    <n v="382850"/>
    <s v="9"/>
    <s v="Bilagsnr 10 er brukt tidligere"/>
    <n v="0.68"/>
    <x v="3"/>
  </r>
  <r>
    <x v="1"/>
    <x v="1"/>
    <x v="1"/>
    <x v="6"/>
    <n v="44905"/>
    <n v="382851"/>
    <s v="10"/>
    <s v="Bilagsnr 10 er brukt tidligere"/>
    <n v="0.31"/>
    <x v="3"/>
  </r>
  <r>
    <x v="1"/>
    <x v="1"/>
    <x v="1"/>
    <x v="6"/>
    <n v="44906"/>
    <n v="382852"/>
    <s v="11"/>
    <s v="Bilagsnr 10 er brukt tidligere"/>
    <n v="7.0000000000000007E-2"/>
    <x v="3"/>
  </r>
  <r>
    <x v="1"/>
    <x v="1"/>
    <x v="1"/>
    <x v="6"/>
    <n v="44908"/>
    <n v="382856"/>
    <s v="Utgående faktura"/>
    <s v="Bilagsnr 10 er brukt tidligere"/>
    <n v="0.17"/>
    <x v="3"/>
  </r>
  <r>
    <x v="1"/>
    <x v="1"/>
    <x v="1"/>
    <x v="6"/>
    <n v="44915"/>
    <n v="382878"/>
    <s v="20"/>
    <s v="Bilagsnr 10 er brukt tidligere"/>
    <n v="0.21"/>
    <x v="3"/>
  </r>
  <r>
    <x v="1"/>
    <x v="1"/>
    <x v="50"/>
    <x v="0"/>
    <n v="44683"/>
    <n v="2009582"/>
    <s v="Byen Vår Kopervik BA"/>
    <s v="Byen Vår Kopervik BA"/>
    <n v="495"/>
    <x v="3"/>
  </r>
  <r>
    <x v="1"/>
    <x v="1"/>
    <x v="50"/>
    <x v="11"/>
    <n v="44648"/>
    <n v="2009518"/>
    <s v="Byen Vår Kopervik BA"/>
    <s v="Byen Vår Kopervik BA"/>
    <n v="1250"/>
    <x v="3"/>
  </r>
  <r>
    <x v="1"/>
    <x v="1"/>
    <x v="50"/>
    <x v="11"/>
    <n v="44650"/>
    <n v="910299"/>
    <s v="Kontant/diverse"/>
    <s v=" "/>
    <n v="-0.04"/>
    <x v="3"/>
  </r>
  <r>
    <x v="1"/>
    <x v="1"/>
    <x v="50"/>
    <x v="11"/>
    <n v="44635"/>
    <n v="4000106"/>
    <s v="SMB Tjenester AS"/>
    <s v="Smb Tjenester AS"/>
    <n v="3400"/>
    <x v="3"/>
  </r>
  <r>
    <x v="1"/>
    <x v="1"/>
    <x v="50"/>
    <x v="3"/>
    <n v="44620"/>
    <n v="2256"/>
    <s v="Akkumulert diff kort per 28/02-22"/>
    <s v=" "/>
    <n v="2906.57"/>
    <x v="3"/>
  </r>
  <r>
    <x v="1"/>
    <x v="1"/>
    <x v="50"/>
    <x v="10"/>
    <n v="44864"/>
    <n v="910311"/>
    <s v="Kontant/diverse"/>
    <s v=" "/>
    <n v="0.08"/>
    <x v="3"/>
  </r>
  <r>
    <x v="1"/>
    <x v="1"/>
    <x v="50"/>
    <x v="9"/>
    <n v="44894"/>
    <n v="910313"/>
    <s v="Kontant/diverse"/>
    <s v=" "/>
    <n v="-0.1"/>
    <x v="3"/>
  </r>
  <r>
    <x v="1"/>
    <x v="1"/>
    <x v="50"/>
    <x v="6"/>
    <n v="44924"/>
    <n v="910315"/>
    <s v="Kontant/diverse"/>
    <s v=" "/>
    <n v="0.04"/>
    <x v="3"/>
  </r>
  <r>
    <x v="1"/>
    <x v="1"/>
    <x v="50"/>
    <x v="2"/>
    <n v="44742"/>
    <n v="910304"/>
    <s v="Kontant/diverse"/>
    <s v=" "/>
    <n v="-0.05"/>
    <x v="3"/>
  </r>
  <r>
    <x v="1"/>
    <x v="1"/>
    <x v="50"/>
    <x v="1"/>
    <n v="44764"/>
    <n v="80136"/>
    <s v="Korreksjon"/>
    <s v=" "/>
    <n v="-0.01"/>
    <x v="3"/>
  </r>
  <r>
    <x v="1"/>
    <x v="1"/>
    <x v="50"/>
    <x v="1"/>
    <n v="44768"/>
    <n v="4000376"/>
    <s v="Statens innkrevingssentral"/>
    <s v="Statens Innkrevingssentral"/>
    <n v="1300"/>
    <x v="3"/>
  </r>
  <r>
    <x v="1"/>
    <x v="1"/>
    <x v="50"/>
    <x v="4"/>
    <n v="44681"/>
    <n v="910300"/>
    <s v="Kontant/diverse"/>
    <s v=" "/>
    <n v="0.04"/>
    <x v="3"/>
  </r>
  <r>
    <x v="1"/>
    <x v="1"/>
    <x v="50"/>
    <x v="0"/>
    <n v="44711"/>
    <n v="910302"/>
    <s v="Kontant/diverse"/>
    <s v=" "/>
    <n v="-0.02"/>
    <x v="3"/>
  </r>
  <r>
    <x v="1"/>
    <x v="1"/>
    <x v="50"/>
    <x v="8"/>
    <n v="44804"/>
    <n v="2009691"/>
    <s v="Byen Vår Kopervik"/>
    <s v=" "/>
    <n v="3575.2"/>
    <x v="3"/>
  </r>
  <r>
    <x v="1"/>
    <x v="1"/>
    <x v="50"/>
    <x v="1"/>
    <n v="44773"/>
    <n v="2330"/>
    <s v="Diff kort juli 2022"/>
    <s v=" "/>
    <n v="-0.06"/>
    <x v="3"/>
  </r>
  <r>
    <x v="1"/>
    <x v="1"/>
    <x v="50"/>
    <x v="8"/>
    <n v="44797"/>
    <n v="4000428"/>
    <s v="KARMØY KOMMUNE"/>
    <s v="Karmøy Kommune"/>
    <n v="4500"/>
    <x v="3"/>
  </r>
  <r>
    <x v="1"/>
    <x v="1"/>
    <x v="50"/>
    <x v="1"/>
    <n v="44766"/>
    <n v="910306"/>
    <s v="Kontant/diverse"/>
    <s v=" "/>
    <n v="-0.03"/>
    <x v="3"/>
  </r>
  <r>
    <x v="1"/>
    <x v="1"/>
    <x v="50"/>
    <x v="3"/>
    <n v="44602"/>
    <n v="2236"/>
    <s v="Akkumulert diff 2998 per 311221"/>
    <s v=" "/>
    <n v="-26.12"/>
    <x v="3"/>
  </r>
  <r>
    <x v="1"/>
    <x v="1"/>
    <x v="50"/>
    <x v="3"/>
    <n v="44602"/>
    <n v="2236"/>
    <s v="Akkumulert diff 2998 per 311221"/>
    <s v=" "/>
    <n v="26.12"/>
    <x v="3"/>
  </r>
  <r>
    <x v="1"/>
    <x v="1"/>
    <x v="50"/>
    <x v="7"/>
    <n v="44816"/>
    <n v="4000480"/>
    <s v="Regionale verneombud i hotell-, restaurant og renhold"/>
    <s v="Stiftelsen Fondet For Regionale Verneombud I Visse Bransjer"/>
    <n v="1216"/>
    <x v="3"/>
  </r>
  <r>
    <x v="1"/>
    <x v="1"/>
    <x v="50"/>
    <x v="7"/>
    <n v="44833"/>
    <n v="910309"/>
    <s v="Kontant/diverse"/>
    <s v=" "/>
    <n v="0.01"/>
    <x v="3"/>
  </r>
  <r>
    <x v="1"/>
    <x v="1"/>
    <x v="50"/>
    <x v="7"/>
    <n v="44834"/>
    <n v="2355"/>
    <s v="korr kronediff"/>
    <s v=" "/>
    <n v="-143"/>
    <x v="3"/>
  </r>
  <r>
    <x v="1"/>
    <x v="1"/>
    <x v="51"/>
    <x v="5"/>
    <n v="44592"/>
    <m/>
    <m/>
    <m/>
    <n v="-1"/>
    <x v="3"/>
  </r>
  <r>
    <x v="1"/>
    <x v="1"/>
    <x v="51"/>
    <x v="3"/>
    <n v="44620"/>
    <m/>
    <m/>
    <m/>
    <n v="0.49"/>
    <x v="3"/>
  </r>
  <r>
    <x v="1"/>
    <x v="1"/>
    <x v="51"/>
    <x v="4"/>
    <n v="44681"/>
    <m/>
    <m/>
    <m/>
    <n v="-0.61"/>
    <x v="3"/>
  </r>
  <r>
    <x v="1"/>
    <x v="1"/>
    <x v="51"/>
    <x v="10"/>
    <n v="44865"/>
    <m/>
    <m/>
    <m/>
    <n v="-0.7"/>
    <x v="3"/>
  </r>
  <r>
    <x v="1"/>
    <x v="1"/>
    <x v="51"/>
    <x v="0"/>
    <n v="44712"/>
    <m/>
    <m/>
    <m/>
    <n v="0.81"/>
    <x v="3"/>
  </r>
  <r>
    <x v="1"/>
    <x v="1"/>
    <x v="51"/>
    <x v="7"/>
    <n v="44834"/>
    <m/>
    <m/>
    <m/>
    <n v="0.37"/>
    <x v="3"/>
  </r>
  <r>
    <x v="1"/>
    <x v="1"/>
    <x v="51"/>
    <x v="1"/>
    <n v="44773"/>
    <m/>
    <m/>
    <m/>
    <n v="0.43"/>
    <x v="3"/>
  </r>
  <r>
    <x v="1"/>
    <x v="1"/>
    <x v="51"/>
    <x v="8"/>
    <n v="44804"/>
    <m/>
    <m/>
    <m/>
    <n v="0.84"/>
    <x v="3"/>
  </r>
  <r>
    <x v="1"/>
    <x v="1"/>
    <x v="51"/>
    <x v="9"/>
    <n v="44895"/>
    <m/>
    <m/>
    <m/>
    <n v="0.15"/>
    <x v="3"/>
  </r>
  <r>
    <x v="1"/>
    <x v="1"/>
    <x v="51"/>
    <x v="11"/>
    <n v="44651"/>
    <m/>
    <m/>
    <m/>
    <n v="-0.61"/>
    <x v="3"/>
  </r>
  <r>
    <x v="1"/>
    <x v="1"/>
    <x v="51"/>
    <x v="2"/>
    <n v="44742"/>
    <m/>
    <m/>
    <m/>
    <n v="1.88"/>
    <x v="3"/>
  </r>
  <r>
    <x v="1"/>
    <x v="1"/>
    <x v="51"/>
    <x v="6"/>
    <n v="44926"/>
    <m/>
    <m/>
    <m/>
    <n v="-0.84"/>
    <x v="3"/>
  </r>
  <r>
    <x v="1"/>
    <x v="21"/>
    <x v="52"/>
    <x v="2"/>
    <n v="44728"/>
    <n v="4000280"/>
    <s v="If Skadeforsikring NUF"/>
    <s v="If Skadeforsikring NUF"/>
    <n v="4718"/>
    <x v="3"/>
  </r>
  <r>
    <x v="1"/>
    <x v="21"/>
    <x v="52"/>
    <x v="3"/>
    <n v="44619"/>
    <n v="2009464"/>
    <s v="NB: Kontroller bankkonto på leverandør"/>
    <s v="Frende Skadeforsikring AS"/>
    <n v="22857"/>
    <x v="3"/>
  </r>
  <r>
    <x v="1"/>
    <x v="21"/>
    <x v="53"/>
    <x v="5"/>
    <n v="44592"/>
    <n v="2008298"/>
    <s v="Periodiseringer"/>
    <s v="Frende Skadeforsikring AS"/>
    <n v="1808.67"/>
    <x v="3"/>
  </r>
  <r>
    <x v="1"/>
    <x v="21"/>
    <x v="53"/>
    <x v="3"/>
    <n v="44620"/>
    <n v="2008298"/>
    <s v="Periodiseringer"/>
    <s v="Frende Skadeforsikring AS"/>
    <n v="1808.67"/>
    <x v="3"/>
  </r>
  <r>
    <x v="1"/>
    <x v="21"/>
    <x v="53"/>
    <x v="11"/>
    <n v="44651"/>
    <n v="2008298"/>
    <s v="Periodiseringer"/>
    <s v="Frende Skadeforsikring AS"/>
    <n v="1808.63"/>
    <x v="3"/>
  </r>
  <r>
    <x v="1"/>
    <x v="21"/>
    <x v="53"/>
    <x v="3"/>
    <n v="44619"/>
    <n v="2009464"/>
    <s v="Periodiseringer"/>
    <s v="Frende Skadeforsikring AS"/>
    <n v="-22857"/>
    <x v="3"/>
  </r>
  <r>
    <x v="1"/>
    <x v="21"/>
    <x v="53"/>
    <x v="4"/>
    <n v="44619"/>
    <n v="2009464"/>
    <s v="Periodiseringer"/>
    <s v="Frende Skadeforsikring AS"/>
    <n v="1904.75"/>
    <x v="3"/>
  </r>
  <r>
    <x v="1"/>
    <x v="21"/>
    <x v="53"/>
    <x v="0"/>
    <n v="44619"/>
    <n v="2009464"/>
    <s v="Periodiseringer"/>
    <s v="Frende Skadeforsikring AS"/>
    <n v="1904.75"/>
    <x v="3"/>
  </r>
  <r>
    <x v="1"/>
    <x v="21"/>
    <x v="53"/>
    <x v="2"/>
    <n v="44619"/>
    <n v="2009464"/>
    <s v="Periodiseringer"/>
    <s v="Frende Skadeforsikring AS"/>
    <n v="1904.75"/>
    <x v="3"/>
  </r>
  <r>
    <x v="1"/>
    <x v="21"/>
    <x v="53"/>
    <x v="1"/>
    <n v="44619"/>
    <n v="2009464"/>
    <s v="Periodiseringer"/>
    <s v="Frende Skadeforsikring AS"/>
    <n v="1904.75"/>
    <x v="3"/>
  </r>
  <r>
    <x v="1"/>
    <x v="21"/>
    <x v="53"/>
    <x v="8"/>
    <n v="44619"/>
    <n v="2009464"/>
    <s v="Periodiseringer"/>
    <s v="Frende Skadeforsikring AS"/>
    <n v="1904.75"/>
    <x v="3"/>
  </r>
  <r>
    <x v="1"/>
    <x v="21"/>
    <x v="53"/>
    <x v="7"/>
    <n v="44619"/>
    <n v="2009464"/>
    <s v="Periodiseringer"/>
    <s v="Frende Skadeforsikring AS"/>
    <n v="1904.75"/>
    <x v="3"/>
  </r>
  <r>
    <x v="1"/>
    <x v="21"/>
    <x v="53"/>
    <x v="10"/>
    <n v="44619"/>
    <n v="2009464"/>
    <s v="Periodiseringer"/>
    <s v="Frende Skadeforsikring AS"/>
    <n v="1904.75"/>
    <x v="3"/>
  </r>
  <r>
    <x v="1"/>
    <x v="21"/>
    <x v="53"/>
    <x v="9"/>
    <n v="44619"/>
    <n v="2009464"/>
    <s v="Periodiseringer"/>
    <s v="Frende Skadeforsikring AS"/>
    <n v="1904.75"/>
    <x v="3"/>
  </r>
  <r>
    <x v="1"/>
    <x v="21"/>
    <x v="53"/>
    <x v="6"/>
    <n v="44619"/>
    <n v="2009464"/>
    <s v="Periodiseringer"/>
    <s v="Frende Skadeforsikring AS"/>
    <n v="1904.75"/>
    <x v="3"/>
  </r>
  <r>
    <x v="1"/>
    <x v="21"/>
    <x v="54"/>
    <x v="6"/>
    <n v="44614"/>
    <n v="4000071"/>
    <s v="Matrix Insurance AS"/>
    <s v="Matrix Insurance AS"/>
    <n v="6281.66"/>
    <x v="3"/>
  </r>
  <r>
    <x v="1"/>
    <x v="22"/>
    <x v="55"/>
    <x v="9"/>
    <n v="44866"/>
    <n v="382798"/>
    <s v="1"/>
    <s v="Bilagsnr 10 er brukt tidligere"/>
    <n v="-160.13"/>
    <x v="3"/>
  </r>
  <r>
    <x v="1"/>
    <x v="22"/>
    <x v="55"/>
    <x v="6"/>
    <n v="44917"/>
    <n v="2369"/>
    <s v="Korrigert salg slått som avstikk"/>
    <s v=" "/>
    <n v="-3473.18"/>
    <x v="3"/>
  </r>
  <r>
    <x v="1"/>
    <x v="22"/>
    <x v="55"/>
    <x v="9"/>
    <n v="44887"/>
    <n v="2367"/>
    <s v="Korrigert salg slått som avstikk"/>
    <s v=" "/>
    <n v="2140.34"/>
    <x v="3"/>
  </r>
  <r>
    <x v="1"/>
    <x v="22"/>
    <x v="55"/>
    <x v="8"/>
    <n v="44795"/>
    <n v="2335"/>
    <s v="Korrigert salg slått som avstikk"/>
    <s v=" "/>
    <n v="-1365.36"/>
    <x v="3"/>
  </r>
  <r>
    <x v="1"/>
    <x v="22"/>
    <x v="55"/>
    <x v="1"/>
    <n v="44764"/>
    <n v="2319"/>
    <s v="Korrigert salg slått som avstikk"/>
    <s v=" "/>
    <n v="329.35"/>
    <x v="3"/>
  </r>
  <r>
    <x v="1"/>
    <x v="22"/>
    <x v="55"/>
    <x v="3"/>
    <n v="44593"/>
    <n v="382162"/>
    <s v="1"/>
    <s v=" "/>
    <n v="-518.34"/>
    <x v="3"/>
  </r>
  <r>
    <x v="1"/>
    <x v="22"/>
    <x v="55"/>
    <x v="5"/>
    <n v="44564"/>
    <n v="382092"/>
    <s v="3"/>
    <s v=" "/>
    <n v="118.37"/>
    <x v="3"/>
  </r>
  <r>
    <x v="1"/>
    <x v="22"/>
    <x v="55"/>
    <x v="5"/>
    <n v="44592"/>
    <n v="382143"/>
    <s v="Utgående faktura"/>
    <s v=" "/>
    <n v="-118.37"/>
    <x v="3"/>
  </r>
  <r>
    <x v="1"/>
    <x v="22"/>
    <x v="55"/>
    <x v="5"/>
    <n v="44590"/>
    <n v="382145"/>
    <s v="29"/>
    <s v=" "/>
    <n v="518.34"/>
    <x v="3"/>
  </r>
  <r>
    <x v="1"/>
    <x v="22"/>
    <x v="55"/>
    <x v="11"/>
    <n v="44622"/>
    <n v="382220"/>
    <s v="2"/>
    <s v=" "/>
    <n v="-360.5"/>
    <x v="3"/>
  </r>
  <r>
    <x v="1"/>
    <x v="22"/>
    <x v="55"/>
    <x v="11"/>
    <n v="44622"/>
    <n v="382220"/>
    <s v="2"/>
    <s v=" "/>
    <n v="360.5"/>
    <x v="3"/>
  </r>
  <r>
    <x v="1"/>
    <x v="22"/>
    <x v="55"/>
    <x v="4"/>
    <n v="44673"/>
    <n v="2269"/>
    <s v="Korrigert salg slått som avstikk"/>
    <s v=" "/>
    <n v="2357.56"/>
    <x v="3"/>
  </r>
  <r>
    <x v="1"/>
    <x v="22"/>
    <x v="55"/>
    <x v="11"/>
    <n v="44644"/>
    <n v="382263"/>
    <s v="24"/>
    <s v=" "/>
    <n v="-550.95000000000005"/>
    <x v="3"/>
  </r>
  <r>
    <x v="1"/>
    <x v="22"/>
    <x v="55"/>
    <x v="11"/>
    <n v="44645"/>
    <n v="382264"/>
    <s v="25"/>
    <s v=" "/>
    <n v="-401.48"/>
    <x v="3"/>
  </r>
  <r>
    <x v="1"/>
    <x v="22"/>
    <x v="55"/>
    <x v="11"/>
    <n v="44642"/>
    <n v="2259"/>
    <s v="Korrigert salg slått som avstikk"/>
    <s v=" "/>
    <n v="173.67"/>
    <x v="3"/>
  </r>
  <r>
    <x v="1"/>
    <x v="22"/>
    <x v="55"/>
    <x v="11"/>
    <n v="44640"/>
    <n v="382246"/>
    <s v="20"/>
    <s v=" "/>
    <n v="401.48"/>
    <x v="3"/>
  </r>
  <r>
    <x v="1"/>
    <x v="22"/>
    <x v="55"/>
    <x v="11"/>
    <n v="44638"/>
    <n v="382244"/>
    <s v="18"/>
    <s v=" "/>
    <n v="550.95000000000005"/>
    <x v="3"/>
  </r>
  <r>
    <x v="1"/>
    <x v="22"/>
    <x v="55"/>
    <x v="0"/>
    <n v="44703"/>
    <n v="2283"/>
    <s v="Korrigert salg slått som avstikk"/>
    <s v=" "/>
    <n v="1513.51"/>
    <x v="3"/>
  </r>
  <r>
    <x v="1"/>
    <x v="22"/>
    <x v="55"/>
    <x v="0"/>
    <n v="44642"/>
    <n v="2259"/>
    <s v="Korrigert salg slått som avstikk"/>
    <s v=" "/>
    <n v="-173.67"/>
    <x v="3"/>
  </r>
  <r>
    <x v="1"/>
    <x v="22"/>
    <x v="55"/>
    <x v="0"/>
    <n v="44673"/>
    <n v="2269"/>
    <s v="Korrigert salg slått som avstikk"/>
    <s v=" "/>
    <n v="-2357.56"/>
    <x v="3"/>
  </r>
  <r>
    <x v="1"/>
    <x v="22"/>
    <x v="55"/>
    <x v="0"/>
    <n v="44703"/>
    <n v="2283"/>
    <s v="Korrigert salg slått som avstikk"/>
    <s v=" "/>
    <n v="-1513.51"/>
    <x v="3"/>
  </r>
  <r>
    <x v="1"/>
    <x v="22"/>
    <x v="55"/>
    <x v="0"/>
    <n v="44703"/>
    <n v="2284"/>
    <s v="Korrigert salg slått som avstikk"/>
    <s v=" "/>
    <n v="783.75"/>
    <x v="3"/>
  </r>
  <r>
    <x v="1"/>
    <x v="22"/>
    <x v="55"/>
    <x v="0"/>
    <n v="44673"/>
    <n v="2284"/>
    <s v="Korrigert salg slått som avstikk"/>
    <s v=" "/>
    <n v="497.46"/>
    <x v="3"/>
  </r>
  <r>
    <x v="1"/>
    <x v="22"/>
    <x v="55"/>
    <x v="2"/>
    <n v="44734"/>
    <n v="2297"/>
    <s v="Korrigert salg slått som avstikk"/>
    <s v=" "/>
    <n v="911.02"/>
    <x v="3"/>
  </r>
  <r>
    <x v="1"/>
    <x v="22"/>
    <x v="55"/>
    <x v="10"/>
    <n v="44856"/>
    <n v="2357"/>
    <s v="Korrigert salg slått som avstikk"/>
    <s v=" "/>
    <n v="2035.79"/>
    <x v="3"/>
  </r>
  <r>
    <x v="1"/>
    <x v="23"/>
    <x v="56"/>
    <x v="5"/>
    <n v="44592"/>
    <m/>
    <m/>
    <m/>
    <n v="-7"/>
    <x v="3"/>
  </r>
  <r>
    <x v="1"/>
    <x v="23"/>
    <x v="56"/>
    <x v="4"/>
    <n v="44681"/>
    <m/>
    <m/>
    <m/>
    <n v="-4.5"/>
    <x v="3"/>
  </r>
  <r>
    <x v="1"/>
    <x v="23"/>
    <x v="56"/>
    <x v="8"/>
    <n v="44804"/>
    <m/>
    <m/>
    <m/>
    <n v="-7.46"/>
    <x v="3"/>
  </r>
  <r>
    <x v="1"/>
    <x v="23"/>
    <x v="56"/>
    <x v="9"/>
    <n v="44895"/>
    <m/>
    <m/>
    <m/>
    <n v="7763"/>
    <x v="3"/>
  </r>
  <r>
    <x v="1"/>
    <x v="23"/>
    <x v="56"/>
    <x v="0"/>
    <n v="44712"/>
    <m/>
    <m/>
    <m/>
    <n v="-6"/>
    <x v="3"/>
  </r>
  <r>
    <x v="1"/>
    <x v="23"/>
    <x v="56"/>
    <x v="6"/>
    <n v="44926"/>
    <m/>
    <m/>
    <m/>
    <n v="-8269"/>
    <x v="3"/>
  </r>
  <r>
    <x v="1"/>
    <x v="23"/>
    <x v="56"/>
    <x v="1"/>
    <n v="44773"/>
    <m/>
    <m/>
    <m/>
    <n v="76.5"/>
    <x v="3"/>
  </r>
  <r>
    <x v="1"/>
    <x v="23"/>
    <x v="56"/>
    <x v="7"/>
    <n v="44834"/>
    <m/>
    <m/>
    <m/>
    <n v="-10"/>
    <x v="3"/>
  </r>
  <r>
    <x v="1"/>
    <x v="23"/>
    <x v="56"/>
    <x v="3"/>
    <n v="44620"/>
    <m/>
    <m/>
    <m/>
    <n v="-611"/>
    <x v="3"/>
  </r>
  <r>
    <x v="1"/>
    <x v="23"/>
    <x v="56"/>
    <x v="11"/>
    <n v="44651"/>
    <m/>
    <m/>
    <m/>
    <n v="766.95"/>
    <x v="3"/>
  </r>
  <r>
    <x v="1"/>
    <x v="23"/>
    <x v="56"/>
    <x v="2"/>
    <n v="44742"/>
    <m/>
    <m/>
    <m/>
    <n v="161.6"/>
    <x v="3"/>
  </r>
  <r>
    <x v="1"/>
    <x v="23"/>
    <x v="56"/>
    <x v="10"/>
    <n v="44865"/>
    <m/>
    <m/>
    <m/>
    <n v="-10"/>
    <x v="3"/>
  </r>
  <r>
    <x v="1"/>
    <x v="24"/>
    <x v="57"/>
    <x v="2"/>
    <n v="44729"/>
    <n v="2309"/>
    <s v="gebyr"/>
    <s v=" "/>
    <n v="75"/>
    <x v="3"/>
  </r>
  <r>
    <x v="1"/>
    <x v="24"/>
    <x v="57"/>
    <x v="1"/>
    <n v="44773"/>
    <n v="2322"/>
    <s v="00090460000 / GEBYR AVTALEGIRO (PMNT/MDOP/CHRG)"/>
    <s v=" "/>
    <n v="6"/>
    <x v="3"/>
  </r>
  <r>
    <x v="1"/>
    <x v="24"/>
    <x v="57"/>
    <x v="1"/>
    <n v="44773"/>
    <n v="2322"/>
    <s v="00090460000 / GEBYR BANKAXEPT OPPGJØR ABONNEMENT (PMNT/MDOP/CHRG)"/>
    <s v=" "/>
    <n v="150"/>
    <x v="3"/>
  </r>
  <r>
    <x v="1"/>
    <x v="24"/>
    <x v="57"/>
    <x v="1"/>
    <n v="44768"/>
    <n v="2322"/>
    <s v="00090460000 / GEBYR GEBYR INNSKUDDSAUTOMAT (PMNT/MDOP/CHRG)"/>
    <s v=" "/>
    <n v="75"/>
    <x v="3"/>
  </r>
  <r>
    <x v="1"/>
    <x v="24"/>
    <x v="57"/>
    <x v="1"/>
    <n v="44756"/>
    <n v="2322"/>
    <s v="00090460000 / GEBYR GEBYR INNSKUDDSAUTOMAT (PMNT/MDOP/CHRG)"/>
    <s v=" "/>
    <n v="75"/>
    <x v="3"/>
  </r>
  <r>
    <x v="1"/>
    <x v="24"/>
    <x v="57"/>
    <x v="1"/>
    <n v="44756"/>
    <n v="2322"/>
    <s v="00090460000 / GEBYR GEBYR INNSKUDDSAUTOMAT (PMNT/MDOP/CHRG)"/>
    <s v=" "/>
    <n v="75"/>
    <x v="3"/>
  </r>
  <r>
    <x v="1"/>
    <x v="24"/>
    <x v="57"/>
    <x v="1"/>
    <n v="44749"/>
    <n v="2322"/>
    <s v="00090460000 / GEBYR GEBYR INNSKUDDSAUTOMAT (PMNT/MDOP/CHRG)"/>
    <s v=" "/>
    <n v="75"/>
    <x v="3"/>
  </r>
  <r>
    <x v="1"/>
    <x v="24"/>
    <x v="57"/>
    <x v="1"/>
    <n v="44749"/>
    <n v="2322"/>
    <s v="00090460000 / GEBYR GEBYR INNSKUDDSAUTOMAT (PMNT/MDOP/CHRG)"/>
    <s v=" "/>
    <n v="75"/>
    <x v="3"/>
  </r>
  <r>
    <x v="1"/>
    <x v="24"/>
    <x v="57"/>
    <x v="1"/>
    <n v="44749"/>
    <n v="2322"/>
    <s v="00090460000 / GEBYR GEBYR INNSKUDDSAUTOMAT (PMNT/MDOP/CHRG)"/>
    <s v=" "/>
    <n v="75"/>
    <x v="3"/>
  </r>
  <r>
    <x v="1"/>
    <x v="24"/>
    <x v="57"/>
    <x v="1"/>
    <n v="44756"/>
    <n v="2323"/>
    <s v="80087967611 / AUTOGIRO BankAxept - Vipps AS (PMNT/ICDT/DMCT)"/>
    <s v=" "/>
    <n v="355.33"/>
    <x v="3"/>
  </r>
  <r>
    <x v="1"/>
    <x v="24"/>
    <x v="57"/>
    <x v="1"/>
    <n v="44760"/>
    <n v="2323"/>
    <s v="00094530119 / PRIS NettBedrift Gebyr (ACMT/MDOP/CHRG)"/>
    <s v=" "/>
    <n v="354.5"/>
    <x v="3"/>
  </r>
  <r>
    <x v="1"/>
    <x v="24"/>
    <x v="57"/>
    <x v="8"/>
    <n v="44804"/>
    <n v="2341"/>
    <s v="gebyrer"/>
    <s v=" "/>
    <n v="1650"/>
    <x v="3"/>
  </r>
  <r>
    <x v="1"/>
    <x v="24"/>
    <x v="57"/>
    <x v="8"/>
    <n v="44795"/>
    <n v="2338"/>
    <s v="00094530119 / PRIS NettBedrift Gebyr (ACMT/MDOP/CHRG)"/>
    <s v=" "/>
    <n v="350"/>
    <x v="3"/>
  </r>
  <r>
    <x v="1"/>
    <x v="24"/>
    <x v="57"/>
    <x v="8"/>
    <n v="44804"/>
    <n v="2338"/>
    <s v="00090460000 / GEBYR AVTALEGIRO (PMNT/MDOP/CHRG)"/>
    <s v=" "/>
    <n v="4"/>
    <x v="3"/>
  </r>
  <r>
    <x v="1"/>
    <x v="24"/>
    <x v="57"/>
    <x v="8"/>
    <n v="44804"/>
    <n v="2338"/>
    <s v="00090460000 / GEBYR BANKAXEPT OPPGJØR ABONNEMENT (PMNT/MDOP/CHRG)"/>
    <s v=" "/>
    <n v="150"/>
    <x v="3"/>
  </r>
  <r>
    <x v="1"/>
    <x v="24"/>
    <x v="57"/>
    <x v="8"/>
    <n v="44798"/>
    <n v="2338"/>
    <s v="00090460000 / GEBYR GEBYR INNSKUDDSAUTOMAT (PMNT/MDOP/CHRG)"/>
    <s v=" "/>
    <n v="75"/>
    <x v="3"/>
  </r>
  <r>
    <x v="1"/>
    <x v="24"/>
    <x v="57"/>
    <x v="8"/>
    <n v="44798"/>
    <n v="2338"/>
    <s v="00090460000 / GEBYR GEBYR INNSKUDDSAUTOMAT (PMNT/MDOP/CHRG)"/>
    <s v=" "/>
    <n v="75"/>
    <x v="3"/>
  </r>
  <r>
    <x v="1"/>
    <x v="24"/>
    <x v="57"/>
    <x v="8"/>
    <n v="44791"/>
    <n v="2338"/>
    <s v="00090460000 / GEBYR GEBYR INNSKUDDSAUTOMAT (PMNT/MDOP/CHRG)"/>
    <s v=" "/>
    <n v="75"/>
    <x v="3"/>
  </r>
  <r>
    <x v="1"/>
    <x v="24"/>
    <x v="57"/>
    <x v="8"/>
    <n v="44791"/>
    <n v="2338"/>
    <s v="00090460000 / GEBYR GEBYR INNSKUDDSAUTOMAT (PMNT/MDOP/CHRG)"/>
    <s v=" "/>
    <n v="75"/>
    <x v="3"/>
  </r>
  <r>
    <x v="1"/>
    <x v="24"/>
    <x v="57"/>
    <x v="8"/>
    <n v="44784"/>
    <n v="2338"/>
    <s v="80087425248 / AUTOGIRO BankAxept - Vipps AS (PMNT/ICDT/DMCT)"/>
    <s v=" "/>
    <n v="354.61"/>
    <x v="3"/>
  </r>
  <r>
    <x v="1"/>
    <x v="24"/>
    <x v="57"/>
    <x v="7"/>
    <n v="44834"/>
    <n v="2347"/>
    <s v="00090460000 / GEBYR AVTALEGIRO (PMNT/MDOP/CHRG)"/>
    <s v=" "/>
    <n v="4"/>
    <x v="3"/>
  </r>
  <r>
    <x v="1"/>
    <x v="24"/>
    <x v="57"/>
    <x v="7"/>
    <n v="44834"/>
    <n v="2347"/>
    <s v="00090460000 / GEBYR BANKAXEPT OPPGJØR ABONNEMENT (PMNT/MDOP/CHRG)"/>
    <s v=" "/>
    <n v="150"/>
    <x v="3"/>
  </r>
  <r>
    <x v="1"/>
    <x v="24"/>
    <x v="57"/>
    <x v="7"/>
    <n v="44824"/>
    <n v="2347"/>
    <s v="00090460000 / GEBYR GEBYR INNSKUDDSAUTOMAT (PMNT/MDOP/CHRG)"/>
    <s v=" "/>
    <n v="75"/>
    <x v="3"/>
  </r>
  <r>
    <x v="1"/>
    <x v="24"/>
    <x v="57"/>
    <x v="7"/>
    <n v="44824"/>
    <n v="2347"/>
    <s v="00090460000 / GEBYR GEBYR INNSKUDDSAUTOMAT (PMNT/MDOP/CHRG)"/>
    <s v=" "/>
    <n v="75"/>
    <x v="3"/>
  </r>
  <r>
    <x v="1"/>
    <x v="24"/>
    <x v="57"/>
    <x v="7"/>
    <n v="44819"/>
    <n v="2347"/>
    <s v="00090460000 / GEBYR GEBYR INNSKUDDSAUTOMAT (PMNT/MDOP/CHRG)"/>
    <s v=" "/>
    <n v="75"/>
    <x v="3"/>
  </r>
  <r>
    <x v="1"/>
    <x v="24"/>
    <x v="57"/>
    <x v="7"/>
    <n v="44819"/>
    <n v="2347"/>
    <s v="00090460000 / GEBYR GEBYR INNSKUDDSAUTOMAT (PMNT/MDOP/CHRG)"/>
    <s v=" "/>
    <n v="75"/>
    <x v="3"/>
  </r>
  <r>
    <x v="1"/>
    <x v="24"/>
    <x v="57"/>
    <x v="7"/>
    <n v="44819"/>
    <n v="2347"/>
    <s v="00090460000 / GEBYR GEBYR INNSKUDDSAUTOMAT (PMNT/MDOP/CHRG)"/>
    <s v=" "/>
    <n v="75"/>
    <x v="3"/>
  </r>
  <r>
    <x v="1"/>
    <x v="24"/>
    <x v="57"/>
    <x v="7"/>
    <n v="44823"/>
    <n v="2347"/>
    <s v="00094530119 / PRIS NettBedrift Gebyr (ACMT/MDOP/CHRG)"/>
    <s v=" "/>
    <n v="359"/>
    <x v="3"/>
  </r>
  <r>
    <x v="1"/>
    <x v="24"/>
    <x v="57"/>
    <x v="7"/>
    <n v="44816"/>
    <n v="2347"/>
    <s v="80087947867 / AUTOGIRO BankID BankAxept AS (PMNT/ICDT/DMCT)"/>
    <s v=" "/>
    <n v="348.92"/>
    <x v="3"/>
  </r>
  <r>
    <x v="1"/>
    <x v="24"/>
    <x v="57"/>
    <x v="11"/>
    <n v="44622"/>
    <n v="2354"/>
    <s v="gebyr"/>
    <s v=" "/>
    <n v="75"/>
    <x v="3"/>
  </r>
  <r>
    <x v="1"/>
    <x v="24"/>
    <x v="57"/>
    <x v="11"/>
    <n v="44637"/>
    <n v="2354"/>
    <s v="gebyr"/>
    <s v=" "/>
    <n v="75"/>
    <x v="3"/>
  </r>
  <r>
    <x v="1"/>
    <x v="24"/>
    <x v="57"/>
    <x v="11"/>
    <n v="44651"/>
    <n v="2354"/>
    <s v="gebyr"/>
    <s v=" "/>
    <n v="150"/>
    <x v="3"/>
  </r>
  <r>
    <x v="1"/>
    <x v="24"/>
    <x v="57"/>
    <x v="4"/>
    <n v="44656"/>
    <n v="2354"/>
    <s v="gebyr"/>
    <s v=" "/>
    <n v="75"/>
    <x v="3"/>
  </r>
  <r>
    <x v="1"/>
    <x v="24"/>
    <x v="57"/>
    <x v="4"/>
    <n v="44672"/>
    <n v="2354"/>
    <s v="gebyr"/>
    <s v=" "/>
    <n v="75"/>
    <x v="3"/>
  </r>
  <r>
    <x v="1"/>
    <x v="24"/>
    <x v="57"/>
    <x v="4"/>
    <n v="44681"/>
    <n v="2354"/>
    <s v="gebyr"/>
    <s v=" "/>
    <n v="150"/>
    <x v="3"/>
  </r>
  <r>
    <x v="1"/>
    <x v="24"/>
    <x v="57"/>
    <x v="0"/>
    <n v="44700"/>
    <n v="2354"/>
    <s v="gebyr"/>
    <s v=" "/>
    <n v="75"/>
    <x v="3"/>
  </r>
  <r>
    <x v="1"/>
    <x v="24"/>
    <x v="57"/>
    <x v="0"/>
    <n v="44712"/>
    <n v="2354"/>
    <s v="gebyr"/>
    <s v=" "/>
    <n v="150"/>
    <x v="3"/>
  </r>
  <r>
    <x v="1"/>
    <x v="24"/>
    <x v="57"/>
    <x v="2"/>
    <n v="44714"/>
    <n v="2354"/>
    <s v="gebyr"/>
    <s v=" "/>
    <n v="75"/>
    <x v="3"/>
  </r>
  <r>
    <x v="1"/>
    <x v="24"/>
    <x v="57"/>
    <x v="2"/>
    <n v="44729"/>
    <n v="2354"/>
    <s v="gebyr"/>
    <s v=" "/>
    <n v="75"/>
    <x v="3"/>
  </r>
  <r>
    <x v="1"/>
    <x v="24"/>
    <x v="57"/>
    <x v="2"/>
    <n v="44742"/>
    <n v="2354"/>
    <s v="gebyr"/>
    <s v=" "/>
    <n v="150"/>
    <x v="3"/>
  </r>
  <r>
    <x v="1"/>
    <x v="24"/>
    <x v="57"/>
    <x v="1"/>
    <n v="44749"/>
    <n v="2354"/>
    <s v="gebyr"/>
    <s v=" "/>
    <n v="75"/>
    <x v="3"/>
  </r>
  <r>
    <x v="1"/>
    <x v="24"/>
    <x v="57"/>
    <x v="1"/>
    <n v="44773"/>
    <n v="2354"/>
    <s v="gebyr"/>
    <s v=" "/>
    <n v="150"/>
    <x v="3"/>
  </r>
  <r>
    <x v="1"/>
    <x v="24"/>
    <x v="57"/>
    <x v="8"/>
    <n v="44791"/>
    <n v="2354"/>
    <s v="gebyr"/>
    <s v=" "/>
    <n v="75"/>
    <x v="3"/>
  </r>
  <r>
    <x v="1"/>
    <x v="24"/>
    <x v="57"/>
    <x v="8"/>
    <n v="44798"/>
    <n v="2354"/>
    <s v="gebyr"/>
    <s v=" "/>
    <n v="75"/>
    <x v="3"/>
  </r>
  <r>
    <x v="1"/>
    <x v="24"/>
    <x v="57"/>
    <x v="8"/>
    <n v="44804"/>
    <n v="2354"/>
    <s v="gebyr"/>
    <s v=" "/>
    <n v="150"/>
    <x v="3"/>
  </r>
  <r>
    <x v="1"/>
    <x v="24"/>
    <x v="57"/>
    <x v="7"/>
    <n v="44819"/>
    <n v="2354"/>
    <s v="gebyr"/>
    <s v=" "/>
    <n v="75"/>
    <x v="3"/>
  </r>
  <r>
    <x v="1"/>
    <x v="24"/>
    <x v="57"/>
    <x v="7"/>
    <n v="44834"/>
    <n v="2354"/>
    <s v="gebyr"/>
    <s v=" "/>
    <n v="150"/>
    <x v="3"/>
  </r>
  <r>
    <x v="1"/>
    <x v="24"/>
    <x v="57"/>
    <x v="10"/>
    <n v="44851"/>
    <n v="2360"/>
    <s v="00094530119 / PRIS NettBedrift Gebyr (ACMT/MDOP/CHRG)"/>
    <s v=" "/>
    <n v="354.5"/>
    <x v="3"/>
  </r>
  <r>
    <x v="1"/>
    <x v="24"/>
    <x v="57"/>
    <x v="10"/>
    <n v="44847"/>
    <n v="2360"/>
    <s v="80087678116 / AUTOGIRO BankID BankAxept AS (PMNT/ICDT/DMCT)"/>
    <s v=" "/>
    <n v="353.57"/>
    <x v="3"/>
  </r>
  <r>
    <x v="1"/>
    <x v="24"/>
    <x v="57"/>
    <x v="10"/>
    <n v="44865"/>
    <n v="2360"/>
    <s v="00090460000 / GEBYR BANKAXEPT OPPGJØR ABONNEMENT (PMNT/MDOP/CHRG)"/>
    <s v=" "/>
    <n v="150"/>
    <x v="3"/>
  </r>
  <r>
    <x v="1"/>
    <x v="24"/>
    <x v="57"/>
    <x v="10"/>
    <n v="44859"/>
    <n v="2360"/>
    <s v="00090460000 / GEBYR GEBYR INNSKUDDSAUTOMAT (PMNT/MDOP/CHRG)"/>
    <s v=" "/>
    <n v="75"/>
    <x v="3"/>
  </r>
  <r>
    <x v="1"/>
    <x v="24"/>
    <x v="57"/>
    <x v="10"/>
    <n v="44859"/>
    <n v="2360"/>
    <s v="00090460000 / GEBYR GEBYR INNSKUDDSAUTOMAT (PMNT/MDOP/CHRG)"/>
    <s v=" "/>
    <n v="75"/>
    <x v="3"/>
  </r>
  <r>
    <x v="1"/>
    <x v="24"/>
    <x v="57"/>
    <x v="11"/>
    <n v="44651"/>
    <n v="2264"/>
    <s v="00090460000 / GEBYR AVTALEGIRO (PMNT/MDOP/CHRG)"/>
    <s v=" "/>
    <n v="6"/>
    <x v="3"/>
  </r>
  <r>
    <x v="1"/>
    <x v="24"/>
    <x v="57"/>
    <x v="11"/>
    <n v="44637"/>
    <n v="2264"/>
    <s v="00090460000 / GEBYR GEBYR INNSKUDDSAUTOMAT (PMNT/MDOP/CHRG)"/>
    <s v=" "/>
    <n v="75"/>
    <x v="3"/>
  </r>
  <r>
    <x v="1"/>
    <x v="24"/>
    <x v="57"/>
    <x v="11"/>
    <n v="44637"/>
    <n v="2264"/>
    <s v="00090460000 / GEBYR GEBYR INNSKUDDSAUTOMAT (PMNT/MDOP/CHRG)"/>
    <s v=" "/>
    <n v="75"/>
    <x v="3"/>
  </r>
  <r>
    <x v="1"/>
    <x v="24"/>
    <x v="57"/>
    <x v="11"/>
    <n v="44622"/>
    <n v="2264"/>
    <s v="00090460000 / GEBYR GEBYR INNSKUDDSAUTOMAT (PMNT/MDOP/CHRG)"/>
    <s v=" "/>
    <n v="75"/>
    <x v="3"/>
  </r>
  <r>
    <x v="1"/>
    <x v="24"/>
    <x v="57"/>
    <x v="11"/>
    <n v="44622"/>
    <n v="2264"/>
    <s v="00090460000 / GEBYR GEBYR INNSKUDDSAUTOMAT (PMNT/MDOP/CHRG)"/>
    <s v=" "/>
    <n v="75"/>
    <x v="3"/>
  </r>
  <r>
    <x v="1"/>
    <x v="24"/>
    <x v="57"/>
    <x v="11"/>
    <n v="44631"/>
    <n v="2264"/>
    <s v="80087923485 / AUTOGIRO BankAxept - Vipps AS (PMNT/ICDT/DMCT)"/>
    <s v=" "/>
    <n v="189.2"/>
    <x v="3"/>
  </r>
  <r>
    <x v="1"/>
    <x v="24"/>
    <x v="57"/>
    <x v="11"/>
    <n v="44641"/>
    <n v="2264"/>
    <s v="00094530120 / PRIS NettBedrift Gebyr (ACMT/MDOP/CHRG)"/>
    <s v=" "/>
    <n v="350"/>
    <x v="3"/>
  </r>
  <r>
    <x v="1"/>
    <x v="24"/>
    <x v="57"/>
    <x v="4"/>
    <n v="44681"/>
    <n v="2273"/>
    <s v="80087530876, 00090460000, 00090460000, 00090460000, 00090460000, 00090460000, 00090460000, 00094530120"/>
    <s v=" "/>
    <n v="1158.18"/>
    <x v="3"/>
  </r>
  <r>
    <x v="1"/>
    <x v="24"/>
    <x v="57"/>
    <x v="11"/>
    <n v="44564"/>
    <n v="2009402"/>
    <s v="Inngående faktura"/>
    <s v="Skudenes &amp; Aakra Sparebank"/>
    <n v="8"/>
    <x v="3"/>
  </r>
  <r>
    <x v="1"/>
    <x v="24"/>
    <x v="57"/>
    <x v="0"/>
    <n v="44693"/>
    <n v="2286"/>
    <s v="80087897674 / AUTOGIRO BankAxept - Vipps AS (PMNT/ICDT/DMCT)"/>
    <s v=" "/>
    <n v="363.8"/>
    <x v="3"/>
  </r>
  <r>
    <x v="1"/>
    <x v="24"/>
    <x v="57"/>
    <x v="0"/>
    <n v="44712"/>
    <n v="2286"/>
    <s v="00090460000 / GEBYR AVTALEGIRO (PMNT/MDOP/CHRG)"/>
    <s v=" "/>
    <n v="6"/>
    <x v="3"/>
  </r>
  <r>
    <x v="1"/>
    <x v="24"/>
    <x v="57"/>
    <x v="0"/>
    <n v="44712"/>
    <n v="2286"/>
    <s v="00090460000 / GEBYR BANKAXEPT OPPGJØR ABONNEMENT (PMNT/MDOP/CHRG)"/>
    <s v=" "/>
    <n v="150"/>
    <x v="3"/>
  </r>
  <r>
    <x v="1"/>
    <x v="24"/>
    <x v="57"/>
    <x v="0"/>
    <n v="44700"/>
    <n v="2286"/>
    <s v="00090460000 / GEBYR GEBYR INNSKUDDSAUTOMAT (PMNT/MDOP/CHRG)"/>
    <s v=" "/>
    <n v="75"/>
    <x v="3"/>
  </r>
  <r>
    <x v="1"/>
    <x v="24"/>
    <x v="57"/>
    <x v="0"/>
    <n v="44700"/>
    <n v="2286"/>
    <s v="00090460000 / GEBYR GEBYR INNSKUDDSAUTOMAT (PMNT/MDOP/CHRG)"/>
    <s v=" "/>
    <n v="75"/>
    <x v="3"/>
  </r>
  <r>
    <x v="1"/>
    <x v="24"/>
    <x v="57"/>
    <x v="0"/>
    <n v="44700"/>
    <n v="2286"/>
    <s v="00090460000 / GEBYR GEBYR INNSKUDDSAUTOMAT (PMNT/MDOP/CHRG)"/>
    <s v=" "/>
    <n v="75"/>
    <x v="3"/>
  </r>
  <r>
    <x v="1"/>
    <x v="24"/>
    <x v="57"/>
    <x v="0"/>
    <n v="44686"/>
    <n v="2286"/>
    <s v="00090460000 / GEBYR GEBYR INNSKUDDSAUTOMAT (PMNT/MDOP/CHRG)"/>
    <s v=" "/>
    <n v="75"/>
    <x v="3"/>
  </r>
  <r>
    <x v="1"/>
    <x v="24"/>
    <x v="57"/>
    <x v="0"/>
    <n v="44686"/>
    <n v="2286"/>
    <s v="00090460000 / GEBYR GEBYR INNSKUDDSAUTOMAT (PMNT/MDOP/CHRG)"/>
    <s v=" "/>
    <n v="75"/>
    <x v="3"/>
  </r>
  <r>
    <x v="1"/>
    <x v="24"/>
    <x v="57"/>
    <x v="0"/>
    <n v="44686"/>
    <n v="2286"/>
    <s v="00090460000 / GEBYR GEBYR INNSKUDDSAUTOMAT (PMNT/MDOP/CHRG)"/>
    <s v=" "/>
    <n v="75"/>
    <x v="3"/>
  </r>
  <r>
    <x v="1"/>
    <x v="24"/>
    <x v="57"/>
    <x v="0"/>
    <n v="44704"/>
    <n v="2286"/>
    <s v="00094530119 / PRIS NettBedrift Gebyr (ACMT/MDOP/CHRG)"/>
    <s v=" "/>
    <n v="363.5"/>
    <x v="3"/>
  </r>
  <r>
    <x v="1"/>
    <x v="24"/>
    <x v="57"/>
    <x v="2"/>
    <n v="44725"/>
    <n v="2304"/>
    <s v="80087422792 / AUTOGIRO BankAxept - Vipps AS (PMNT/ICDT/DMCT)"/>
    <s v=" "/>
    <n v="356.76"/>
    <x v="3"/>
  </r>
  <r>
    <x v="1"/>
    <x v="24"/>
    <x v="57"/>
    <x v="2"/>
    <n v="44742"/>
    <n v="2304"/>
    <s v="00090460000 / GEBYR AVTALEGIRO (PMNT/MDOP/CHRG)"/>
    <s v=" "/>
    <n v="1"/>
    <x v="3"/>
  </r>
  <r>
    <x v="1"/>
    <x v="24"/>
    <x v="57"/>
    <x v="2"/>
    <n v="44742"/>
    <n v="2304"/>
    <s v="00090460000 / GEBYR BANKAXEPT OPPGJØR ABONNEMENT (PMNT/MDOP/CHRG)"/>
    <s v=" "/>
    <n v="150"/>
    <x v="3"/>
  </r>
  <r>
    <x v="1"/>
    <x v="24"/>
    <x v="57"/>
    <x v="2"/>
    <n v="44714"/>
    <n v="2304"/>
    <s v="00090460000 / GEBYR GEBYR INNSKUDDSAUTOMAT (PMNT/MDOP/CHRG)"/>
    <s v=" "/>
    <n v="75"/>
    <x v="3"/>
  </r>
  <r>
    <x v="1"/>
    <x v="24"/>
    <x v="57"/>
    <x v="2"/>
    <n v="44714"/>
    <n v="2304"/>
    <s v="00090460000 / GEBYR GEBYR INNSKUDDSAUTOMAT (PMNT/MDOP/CHRG)"/>
    <s v=" "/>
    <n v="75"/>
    <x v="3"/>
  </r>
  <r>
    <x v="1"/>
    <x v="24"/>
    <x v="57"/>
    <x v="2"/>
    <n v="44732"/>
    <n v="2304"/>
    <s v="00094530119 / PRIS NettBedrift Gebyr (ACMT/MDOP/CHRG)"/>
    <s v=" "/>
    <n v="354.5"/>
    <x v="3"/>
  </r>
  <r>
    <x v="1"/>
    <x v="24"/>
    <x v="57"/>
    <x v="3"/>
    <n v="44606"/>
    <n v="2252"/>
    <s v="460000GEBYR  000000"/>
    <s v=" "/>
    <n v="75"/>
    <x v="3"/>
  </r>
  <r>
    <x v="1"/>
    <x v="24"/>
    <x v="57"/>
    <x v="5"/>
    <n v="44592"/>
    <n v="2250"/>
    <s v="390007INNSKUD483366, 460000GEBYR  000000"/>
    <s v=" "/>
    <n v="-1470"/>
    <x v="3"/>
  </r>
  <r>
    <x v="1"/>
    <x v="24"/>
    <x v="57"/>
    <x v="5"/>
    <n v="44567"/>
    <n v="2250"/>
    <s v="460000GEBYR  000000"/>
    <s v=" "/>
    <n v="75"/>
    <x v="3"/>
  </r>
  <r>
    <x v="1"/>
    <x v="24"/>
    <x v="57"/>
    <x v="5"/>
    <n v="44578"/>
    <n v="2242"/>
    <s v="00094530102 / PRIS NettBedrift Gebyr (ACMT/MDOP/CHRG)"/>
    <s v=" "/>
    <n v="368"/>
    <x v="3"/>
  </r>
  <r>
    <x v="1"/>
    <x v="24"/>
    <x v="57"/>
    <x v="5"/>
    <n v="44592"/>
    <n v="2242"/>
    <s v="00090460000 / GEBYR AVTALEGIRO (PMNT/MDOP/CHRG)"/>
    <s v=" "/>
    <n v="1"/>
    <x v="3"/>
  </r>
  <r>
    <x v="1"/>
    <x v="24"/>
    <x v="57"/>
    <x v="5"/>
    <n v="44581"/>
    <n v="2242"/>
    <s v="00090460000 / GEBYR GEBYR INNSKUDDSAUTOMAT (PMNT/MDOP/CHRG)"/>
    <s v=" "/>
    <n v="75"/>
    <x v="3"/>
  </r>
  <r>
    <x v="1"/>
    <x v="24"/>
    <x v="57"/>
    <x v="5"/>
    <n v="44581"/>
    <n v="2242"/>
    <s v="00090460000 / GEBYR GEBYR INNSKUDDSAUTOMAT (PMNT/MDOP/CHRG)"/>
    <s v=" "/>
    <n v="75"/>
    <x v="3"/>
  </r>
  <r>
    <x v="1"/>
    <x v="24"/>
    <x v="57"/>
    <x v="5"/>
    <n v="44567"/>
    <n v="2242"/>
    <s v="00090460000 / GEBYR GEBYR INNSKUDDSAUTOMAT (PMNT/MDOP/CHRG)"/>
    <s v=" "/>
    <n v="75"/>
    <x v="3"/>
  </r>
  <r>
    <x v="1"/>
    <x v="24"/>
    <x v="57"/>
    <x v="5"/>
    <n v="44567"/>
    <n v="2242"/>
    <s v="00090460000 / GEBYR GEBYR INNSKUDDSAUTOMAT (PMNT/MDOP/CHRG)"/>
    <s v=" "/>
    <n v="75"/>
    <x v="3"/>
  </r>
  <r>
    <x v="1"/>
    <x v="24"/>
    <x v="57"/>
    <x v="5"/>
    <n v="44567"/>
    <n v="2242"/>
    <s v="00090460000 / GEBYR GEBYR INNSKUDDSAUTOMAT (PMNT/MDOP/CHRG)"/>
    <s v=" "/>
    <n v="75"/>
    <x v="3"/>
  </r>
  <r>
    <x v="1"/>
    <x v="24"/>
    <x v="57"/>
    <x v="3"/>
    <n v="44620"/>
    <n v="2243"/>
    <s v="00090460000 / GEBYR AVTALEGIRO (PMNT/MDOP/CHRG)"/>
    <s v=" "/>
    <n v="4"/>
    <x v="3"/>
  </r>
  <r>
    <x v="1"/>
    <x v="24"/>
    <x v="57"/>
    <x v="3"/>
    <n v="44606"/>
    <n v="2243"/>
    <s v="00090460000 / GEBYR GEBYR INNSKUDDSAUTOMAT (PMNT/MDOP/CHRG)"/>
    <s v=" "/>
    <n v="75"/>
    <x v="3"/>
  </r>
  <r>
    <x v="1"/>
    <x v="24"/>
    <x v="57"/>
    <x v="3"/>
    <n v="44606"/>
    <n v="2243"/>
    <s v="00090460000 / GEBYR GEBYR INNSKUDDSAUTOMAT (PMNT/MDOP/CHRG)"/>
    <s v=" "/>
    <n v="75"/>
    <x v="3"/>
  </r>
  <r>
    <x v="1"/>
    <x v="24"/>
    <x v="57"/>
    <x v="3"/>
    <n v="44606"/>
    <n v="2243"/>
    <s v="80087498352 / AUTOGIRO BankAxept - Vipps AS (PMNT/ICDT/DMCT)"/>
    <s v=" "/>
    <n v="199.47"/>
    <x v="3"/>
  </r>
  <r>
    <x v="1"/>
    <x v="24"/>
    <x v="57"/>
    <x v="3"/>
    <n v="44614"/>
    <n v="2243"/>
    <s v="00094530119 / PRIS NettBedrift Gebyr (ACMT/MDOP/CHRG)"/>
    <s v=" "/>
    <n v="363.5"/>
    <x v="3"/>
  </r>
  <r>
    <x v="1"/>
    <x v="24"/>
    <x v="57"/>
    <x v="6"/>
    <n v="44914"/>
    <n v="2381"/>
    <s v="00094530118"/>
    <s v=" "/>
    <n v="350"/>
    <x v="3"/>
  </r>
  <r>
    <x v="1"/>
    <x v="24"/>
    <x v="57"/>
    <x v="6"/>
    <n v="44915"/>
    <n v="2382"/>
    <s v="gebyr"/>
    <s v=" "/>
    <n v="75"/>
    <x v="3"/>
  </r>
  <r>
    <x v="1"/>
    <x v="24"/>
    <x v="57"/>
    <x v="6"/>
    <n v="44903"/>
    <n v="2382"/>
    <s v="gebyr"/>
    <s v=" "/>
    <n v="75"/>
    <x v="3"/>
  </r>
  <r>
    <x v="1"/>
    <x v="24"/>
    <x v="57"/>
    <x v="9"/>
    <n v="44876"/>
    <n v="2372"/>
    <s v="80087195862 / AUTOGIRO BankID BankAxept AS (PMNT/ICDT/DMCT)"/>
    <s v=" "/>
    <n v="356.94"/>
    <x v="3"/>
  </r>
  <r>
    <x v="1"/>
    <x v="24"/>
    <x v="57"/>
    <x v="9"/>
    <n v="44895"/>
    <n v="2372"/>
    <s v="00090460000 / GEBYR AVTALEGIRO (PMNT/MDOP/CHRG)"/>
    <s v=" "/>
    <n v="3"/>
    <x v="3"/>
  </r>
  <r>
    <x v="1"/>
    <x v="24"/>
    <x v="57"/>
    <x v="9"/>
    <n v="44889"/>
    <n v="2372"/>
    <s v="00090460000 / GEBYR GEBYR INNSKUDDSAUTOMAT (PMNT/MDOP/CHRG)"/>
    <s v=" "/>
    <n v="75"/>
    <x v="3"/>
  </r>
  <r>
    <x v="1"/>
    <x v="24"/>
    <x v="57"/>
    <x v="9"/>
    <n v="44886"/>
    <n v="2372"/>
    <s v="00094530118 / PRIS NettBedrift Gebyr (ACMT/MDOP/CHRG)"/>
    <s v=" "/>
    <n v="359"/>
    <x v="3"/>
  </r>
  <r>
    <x v="1"/>
    <x v="24"/>
    <x v="57"/>
    <x v="6"/>
    <n v="44907"/>
    <n v="2375"/>
    <s v="80087761542 / AUTOGIRO BankID BankAxept AS (PMNT/ICDT/DMCT)"/>
    <s v=" "/>
    <n v="379.91"/>
    <x v="3"/>
  </r>
  <r>
    <x v="1"/>
    <x v="24"/>
    <x v="57"/>
    <x v="6"/>
    <n v="44926"/>
    <n v="2375"/>
    <s v="00090460000 / GEBYR AVTALEGIRO (PMNT/MDOP/CHRG)"/>
    <s v=" "/>
    <n v="5"/>
    <x v="3"/>
  </r>
  <r>
    <x v="1"/>
    <x v="24"/>
    <x v="57"/>
    <x v="6"/>
    <n v="44915"/>
    <n v="2375"/>
    <s v="00090460000 / GEBYR GEBYR INNSKUDDSAUTOMAT (PMNT/MDOP/CHRG)"/>
    <s v=" "/>
    <n v="75"/>
    <x v="3"/>
  </r>
  <r>
    <x v="1"/>
    <x v="24"/>
    <x v="57"/>
    <x v="6"/>
    <n v="44915"/>
    <n v="2375"/>
    <s v="00090460000 / GEBYR GEBYR INNSKUDDSAUTOMAT (PMNT/MDOP/CHRG)"/>
    <s v=" "/>
    <n v="75"/>
    <x v="3"/>
  </r>
  <r>
    <x v="1"/>
    <x v="24"/>
    <x v="57"/>
    <x v="6"/>
    <n v="44903"/>
    <n v="2375"/>
    <s v="00090460000 / GEBYR GEBYR INNSKUDDSAUTOMAT (PMNT/MDOP/CHRG)"/>
    <s v=" "/>
    <n v="75"/>
    <x v="3"/>
  </r>
  <r>
    <x v="1"/>
    <x v="24"/>
    <x v="57"/>
    <x v="6"/>
    <n v="44903"/>
    <n v="2375"/>
    <s v="00090460000 / GEBYR GEBYR INNSKUDDSAUTOMAT (PMNT/MDOP/CHRG)"/>
    <s v=" "/>
    <n v="75"/>
    <x v="3"/>
  </r>
  <r>
    <x v="1"/>
    <x v="24"/>
    <x v="57"/>
    <x v="6"/>
    <n v="44903"/>
    <n v="2375"/>
    <s v="00090460000 / GEBYR GEBYR INNSKUDDSAUTOMAT (PMNT/MDOP/CHRG)"/>
    <s v=" "/>
    <n v="75"/>
    <x v="3"/>
  </r>
  <r>
    <x v="1"/>
    <x v="24"/>
    <x v="57"/>
    <x v="6"/>
    <n v="44903"/>
    <n v="2375"/>
    <s v="00090460000 / GEBYR GEBYR INNSKUDDSAUTOMAT (PMNT/MDOP/CHRG)"/>
    <s v=" "/>
    <n v="75"/>
    <x v="3"/>
  </r>
  <r>
    <x v="1"/>
    <x v="24"/>
    <x v="57"/>
    <x v="10"/>
    <n v="44840"/>
    <n v="2360"/>
    <s v="00090460000 / GEBYR GEBYR INNSKUDDSAUTOMAT (PMNT/MDOP/CHRG)"/>
    <s v=" "/>
    <n v="75"/>
    <x v="3"/>
  </r>
  <r>
    <x v="1"/>
    <x v="24"/>
    <x v="57"/>
    <x v="10"/>
    <n v="44840"/>
    <n v="2360"/>
    <s v="00090460000 / GEBYR GEBYR INNSKUDDSAUTOMAT (PMNT/MDOP/CHRG)"/>
    <s v=" "/>
    <n v="75"/>
    <x v="3"/>
  </r>
  <r>
    <x v="1"/>
    <x v="24"/>
    <x v="57"/>
    <x v="10"/>
    <n v="44865"/>
    <n v="2360"/>
    <s v="00090460000 / GEBYR AVTALEGIRO (PMNT/MDOP/CHRG)"/>
    <s v=" "/>
    <n v="5"/>
    <x v="3"/>
  </r>
  <r>
    <x v="1"/>
    <x v="24"/>
    <x v="57"/>
    <x v="10"/>
    <n v="44865"/>
    <n v="2364"/>
    <s v="gebyr"/>
    <s v=" "/>
    <n v="150"/>
    <x v="3"/>
  </r>
  <r>
    <x v="1"/>
    <x v="24"/>
    <x v="57"/>
    <x v="10"/>
    <n v="44859"/>
    <n v="2364"/>
    <s v="gebyr"/>
    <s v=" "/>
    <n v="75"/>
    <x v="3"/>
  </r>
  <r>
    <x v="1"/>
    <x v="24"/>
    <x v="57"/>
    <x v="10"/>
    <n v="44840"/>
    <n v="2364"/>
    <s v="gebyr"/>
    <s v=" "/>
    <n v="75"/>
    <x v="3"/>
  </r>
  <r>
    <x v="1"/>
    <x v="24"/>
    <x v="58"/>
    <x v="1"/>
    <n v="44733"/>
    <n v="2009631"/>
    <s v="Svea Finans AS"/>
    <s v="Haugaland Kraft AS"/>
    <n v="35"/>
    <x v="3"/>
  </r>
  <r>
    <x v="1"/>
    <x v="24"/>
    <x v="58"/>
    <x v="4"/>
    <n v="44681"/>
    <n v="2009576"/>
    <s v="Tor Ole Vikse AS"/>
    <s v="Tor Ole Vikse AS"/>
    <n v="40"/>
    <x v="3"/>
  </r>
  <r>
    <x v="1"/>
    <x v="24"/>
    <x v="58"/>
    <x v="2"/>
    <n v="44736"/>
    <n v="2009629"/>
    <s v="Inngående faktura"/>
    <s v="Sparebank 1 Factoring AS"/>
    <n v="35"/>
    <x v="3"/>
  </r>
  <r>
    <x v="1"/>
    <x v="24"/>
    <x v="58"/>
    <x v="2"/>
    <n v="44742"/>
    <n v="2009639"/>
    <s v="Inngående faktura"/>
    <s v=" "/>
    <n v="28.79"/>
    <x v="3"/>
  </r>
  <r>
    <x v="1"/>
    <x v="24"/>
    <x v="58"/>
    <x v="0"/>
    <n v="44712"/>
    <n v="2009609"/>
    <s v="Inngående faktura"/>
    <s v="Tor Ole Vikse AS"/>
    <n v="40"/>
    <x v="3"/>
  </r>
  <r>
    <x v="1"/>
    <x v="25"/>
    <x v="59"/>
    <x v="1"/>
    <n v="44756"/>
    <n v="520611"/>
    <s v="Sum Cardcommision, creditcard companies"/>
    <s v="CreditMemo"/>
    <n v="199.28"/>
    <x v="3"/>
  </r>
  <r>
    <x v="1"/>
    <x v="25"/>
    <x v="59"/>
    <x v="1"/>
    <n v="44757"/>
    <n v="520612"/>
    <s v="Sum Cardcommision, creditcard companies"/>
    <s v="CreditMemo"/>
    <n v="233.32"/>
    <x v="3"/>
  </r>
  <r>
    <x v="1"/>
    <x v="25"/>
    <x v="59"/>
    <x v="1"/>
    <n v="44758"/>
    <n v="520613"/>
    <s v="Sum Cardcommision, creditcard companies"/>
    <s v="CreditMemo"/>
    <n v="290.7"/>
    <x v="3"/>
  </r>
  <r>
    <x v="1"/>
    <x v="25"/>
    <x v="59"/>
    <x v="1"/>
    <n v="44759"/>
    <n v="520614"/>
    <s v="Sum Cardcommision, creditcard companies"/>
    <s v="CreditMemo"/>
    <n v="249.79"/>
    <x v="3"/>
  </r>
  <r>
    <x v="1"/>
    <x v="25"/>
    <x v="59"/>
    <x v="1"/>
    <n v="44760"/>
    <n v="520615"/>
    <s v="Sum Cardcommision, creditcard companies"/>
    <s v="CreditMemo"/>
    <n v="377.92"/>
    <x v="3"/>
  </r>
  <r>
    <x v="1"/>
    <x v="25"/>
    <x v="59"/>
    <x v="1"/>
    <n v="44761"/>
    <n v="520616"/>
    <s v="Sum Cardcommision, creditcard companies"/>
    <s v="CreditMemo"/>
    <n v="249.01"/>
    <x v="3"/>
  </r>
  <r>
    <x v="1"/>
    <x v="25"/>
    <x v="59"/>
    <x v="1"/>
    <n v="44762"/>
    <n v="520617"/>
    <s v="Sum Cardcommision, creditcard companies"/>
    <s v="CreditMemo"/>
    <n v="427"/>
    <x v="3"/>
  </r>
  <r>
    <x v="1"/>
    <x v="25"/>
    <x v="59"/>
    <x v="1"/>
    <n v="44763"/>
    <n v="520619"/>
    <s v="Sum Cardcommision, creditcard companies"/>
    <s v="CreditMemo"/>
    <n v="161.31"/>
    <x v="3"/>
  </r>
  <r>
    <x v="1"/>
    <x v="25"/>
    <x v="59"/>
    <x v="1"/>
    <n v="44764"/>
    <n v="520620"/>
    <s v="Sum Cardcommision, creditcard companies"/>
    <s v="CreditMemo"/>
    <n v="227.53"/>
    <x v="3"/>
  </r>
  <r>
    <x v="1"/>
    <x v="25"/>
    <x v="59"/>
    <x v="1"/>
    <n v="44765"/>
    <n v="520621"/>
    <s v="Sum Cardcommision, creditcard companies"/>
    <s v="CreditMemo"/>
    <n v="430.96"/>
    <x v="3"/>
  </r>
  <r>
    <x v="1"/>
    <x v="25"/>
    <x v="59"/>
    <x v="1"/>
    <n v="44766"/>
    <n v="520622"/>
    <s v="Sum Cardcommision, creditcard companies"/>
    <s v="CreditMemo"/>
    <n v="247.77"/>
    <x v="3"/>
  </r>
  <r>
    <x v="1"/>
    <x v="25"/>
    <x v="59"/>
    <x v="1"/>
    <n v="44767"/>
    <n v="520624"/>
    <s v="Sum Cardcommision, creditcard companies"/>
    <s v="CreditMemo"/>
    <n v="184.89"/>
    <x v="3"/>
  </r>
  <r>
    <x v="1"/>
    <x v="25"/>
    <x v="59"/>
    <x v="1"/>
    <n v="44768"/>
    <n v="520625"/>
    <s v="Sum Cardcommision, creditcard companies"/>
    <s v="CreditMemo"/>
    <n v="99.84"/>
    <x v="3"/>
  </r>
  <r>
    <x v="1"/>
    <x v="25"/>
    <x v="59"/>
    <x v="1"/>
    <n v="44769"/>
    <n v="520626"/>
    <s v="Sum Cardcommision, creditcard companies"/>
    <s v="CreditMemo"/>
    <n v="178.39"/>
    <x v="3"/>
  </r>
  <r>
    <x v="1"/>
    <x v="25"/>
    <x v="59"/>
    <x v="1"/>
    <n v="44770"/>
    <n v="520627"/>
    <s v="Sum Cardcommision, creditcard companies"/>
    <s v="CreditMemo"/>
    <n v="235.82"/>
    <x v="3"/>
  </r>
  <r>
    <x v="1"/>
    <x v="25"/>
    <x v="59"/>
    <x v="1"/>
    <n v="44771"/>
    <n v="520628"/>
    <s v="Sum Cardcommision, creditcard companies"/>
    <s v="CreditMemo"/>
    <n v="386.75"/>
    <x v="3"/>
  </r>
  <r>
    <x v="1"/>
    <x v="25"/>
    <x v="59"/>
    <x v="1"/>
    <n v="44772"/>
    <n v="520629"/>
    <s v="Sum Cardcommision, creditcard companies"/>
    <s v="CreditMemo"/>
    <n v="233.33"/>
    <x v="3"/>
  </r>
  <r>
    <x v="1"/>
    <x v="25"/>
    <x v="59"/>
    <x v="1"/>
    <n v="44773"/>
    <n v="520630"/>
    <s v="Sum Cardcommision, creditcard companies"/>
    <s v="CreditMemo"/>
    <n v="396.66"/>
    <x v="3"/>
  </r>
  <r>
    <x v="1"/>
    <x v="25"/>
    <x v="59"/>
    <x v="1"/>
    <n v="44743"/>
    <n v="520595"/>
    <s v="Sum Cardcommision, creditcard companies"/>
    <s v="CreditMemo"/>
    <n v="301.86"/>
    <x v="3"/>
  </r>
  <r>
    <x v="1"/>
    <x v="25"/>
    <x v="59"/>
    <x v="1"/>
    <n v="44744"/>
    <n v="520596"/>
    <s v="Sum Cardcommision, creditcard companies"/>
    <s v="CreditMemo"/>
    <n v="306.7"/>
    <x v="3"/>
  </r>
  <r>
    <x v="1"/>
    <x v="25"/>
    <x v="59"/>
    <x v="1"/>
    <n v="44745"/>
    <n v="520597"/>
    <s v="Sum Cardcommision, creditcard companies"/>
    <s v="CreditMemo"/>
    <n v="421.4"/>
    <x v="3"/>
  </r>
  <r>
    <x v="1"/>
    <x v="25"/>
    <x v="59"/>
    <x v="1"/>
    <n v="44746"/>
    <n v="520598"/>
    <s v="Sum Cardcommision, creditcard companies"/>
    <s v="CreditMemo"/>
    <n v="181.79"/>
    <x v="3"/>
  </r>
  <r>
    <x v="1"/>
    <x v="25"/>
    <x v="59"/>
    <x v="1"/>
    <n v="44747"/>
    <n v="520600"/>
    <s v="Sum Cardcommision, creditcard companies"/>
    <s v="CreditMemo"/>
    <n v="233.92"/>
    <x v="3"/>
  </r>
  <r>
    <x v="1"/>
    <x v="25"/>
    <x v="59"/>
    <x v="1"/>
    <n v="44748"/>
    <n v="520601"/>
    <s v="Sum Cardcommision, creditcard companies"/>
    <s v="CreditMemo"/>
    <n v="162.58000000000001"/>
    <x v="3"/>
  </r>
  <r>
    <x v="1"/>
    <x v="25"/>
    <x v="59"/>
    <x v="1"/>
    <n v="44749"/>
    <n v="520603"/>
    <s v="Sum Cardcommision, creditcard companies"/>
    <s v="CreditMemo"/>
    <n v="359.42"/>
    <x v="3"/>
  </r>
  <r>
    <x v="1"/>
    <x v="25"/>
    <x v="59"/>
    <x v="1"/>
    <n v="44750"/>
    <n v="520604"/>
    <s v="Sum Cardcommision, creditcard companies"/>
    <s v="CreditMemo"/>
    <n v="333.36"/>
    <x v="3"/>
  </r>
  <r>
    <x v="1"/>
    <x v="25"/>
    <x v="59"/>
    <x v="1"/>
    <n v="44751"/>
    <n v="520605"/>
    <s v="Sum Cardcommision, creditcard companies"/>
    <s v="CreditMemo"/>
    <n v="144.83000000000001"/>
    <x v="3"/>
  </r>
  <r>
    <x v="1"/>
    <x v="25"/>
    <x v="59"/>
    <x v="1"/>
    <n v="44752"/>
    <n v="520606"/>
    <s v="Sum Cardcommision, creditcard companies"/>
    <s v="CreditMemo"/>
    <n v="368.53"/>
    <x v="3"/>
  </r>
  <r>
    <x v="1"/>
    <x v="25"/>
    <x v="59"/>
    <x v="1"/>
    <n v="44753"/>
    <n v="520607"/>
    <s v="Sum Cardcommision, creditcard companies"/>
    <s v="CreditMemo"/>
    <n v="211.97"/>
    <x v="3"/>
  </r>
  <r>
    <x v="1"/>
    <x v="25"/>
    <x v="59"/>
    <x v="1"/>
    <n v="44754"/>
    <n v="520608"/>
    <s v="Sum Cardcommision, creditcard companies"/>
    <s v="CreditMemo"/>
    <n v="162.24"/>
    <x v="3"/>
  </r>
  <r>
    <x v="1"/>
    <x v="25"/>
    <x v="59"/>
    <x v="1"/>
    <n v="44755"/>
    <n v="520609"/>
    <s v="Sum Cardcommision, creditcard companies"/>
    <s v="CreditMemo"/>
    <n v="195.04"/>
    <x v="3"/>
  </r>
  <r>
    <x v="1"/>
    <x v="25"/>
    <x v="59"/>
    <x v="8"/>
    <n v="44804"/>
    <n v="520671"/>
    <s v="Sum Cardcommision, creditcard companies"/>
    <s v="CreditMemo"/>
    <n v="167.7"/>
    <x v="3"/>
  </r>
  <r>
    <x v="1"/>
    <x v="25"/>
    <x v="59"/>
    <x v="1"/>
    <n v="44593"/>
    <n v="2329"/>
    <s v="kortgebyr mastercard + maestro Q2 2021"/>
    <s v="St 1"/>
    <n v="7362"/>
    <x v="3"/>
  </r>
  <r>
    <x v="1"/>
    <x v="25"/>
    <x v="59"/>
    <x v="8"/>
    <n v="44774"/>
    <n v="520632"/>
    <s v="Sum Cardcommision, creditcard companies"/>
    <s v="CreditMemo"/>
    <n v="216.66"/>
    <x v="3"/>
  </r>
  <r>
    <x v="1"/>
    <x v="25"/>
    <x v="59"/>
    <x v="8"/>
    <n v="44775"/>
    <n v="520633"/>
    <s v="Sum Cardcommision, creditcard companies"/>
    <s v="CreditMemo"/>
    <n v="68.39"/>
    <x v="3"/>
  </r>
  <r>
    <x v="1"/>
    <x v="25"/>
    <x v="59"/>
    <x v="8"/>
    <n v="44776"/>
    <n v="520635"/>
    <s v="Sum Cardcommision, creditcard companies"/>
    <s v="CreditMemo"/>
    <n v="165.63"/>
    <x v="3"/>
  </r>
  <r>
    <x v="1"/>
    <x v="25"/>
    <x v="59"/>
    <x v="8"/>
    <n v="44777"/>
    <n v="520637"/>
    <s v="Sum Cardcommision, creditcard companies"/>
    <s v="CreditMemo"/>
    <n v="162.51"/>
    <x v="3"/>
  </r>
  <r>
    <x v="1"/>
    <x v="25"/>
    <x v="59"/>
    <x v="8"/>
    <n v="44778"/>
    <n v="520638"/>
    <s v="Sum Cardcommision, creditcard companies"/>
    <s v="CreditMemo"/>
    <n v="172.76"/>
    <x v="3"/>
  </r>
  <r>
    <x v="1"/>
    <x v="25"/>
    <x v="59"/>
    <x v="8"/>
    <n v="44779"/>
    <n v="520639"/>
    <s v="Sum Cardcommision, creditcard companies"/>
    <s v="CreditMemo"/>
    <n v="116.8"/>
    <x v="3"/>
  </r>
  <r>
    <x v="1"/>
    <x v="25"/>
    <x v="59"/>
    <x v="8"/>
    <n v="44780"/>
    <n v="520640"/>
    <s v="Sum Cardcommision, creditcard companies"/>
    <s v="CreditMemo"/>
    <n v="128.76"/>
    <x v="3"/>
  </r>
  <r>
    <x v="1"/>
    <x v="25"/>
    <x v="59"/>
    <x v="8"/>
    <n v="44781"/>
    <n v="520641"/>
    <s v="Sum Cardcommision, creditcard companies"/>
    <s v="CreditMemo"/>
    <n v="183"/>
    <x v="3"/>
  </r>
  <r>
    <x v="1"/>
    <x v="25"/>
    <x v="59"/>
    <x v="8"/>
    <n v="44782"/>
    <n v="520643"/>
    <s v="Sum Cardcommision, creditcard companies"/>
    <s v="CreditMemo"/>
    <n v="314.35000000000002"/>
    <x v="3"/>
  </r>
  <r>
    <x v="1"/>
    <x v="25"/>
    <x v="59"/>
    <x v="8"/>
    <n v="44783"/>
    <n v="520644"/>
    <s v="Sum Cardcommision, creditcard companies"/>
    <s v="CreditMemo"/>
    <n v="157.44999999999999"/>
    <x v="3"/>
  </r>
  <r>
    <x v="1"/>
    <x v="25"/>
    <x v="59"/>
    <x v="8"/>
    <n v="44784"/>
    <n v="520646"/>
    <s v="Sum Cardcommision, creditcard companies"/>
    <s v="CreditMemo"/>
    <n v="170.45"/>
    <x v="3"/>
  </r>
  <r>
    <x v="1"/>
    <x v="25"/>
    <x v="59"/>
    <x v="8"/>
    <n v="44785"/>
    <n v="520647"/>
    <s v="Sum Cardcommision, creditcard companies"/>
    <s v="CreditMemo"/>
    <n v="248.55"/>
    <x v="3"/>
  </r>
  <r>
    <x v="1"/>
    <x v="25"/>
    <x v="59"/>
    <x v="8"/>
    <n v="44786"/>
    <n v="520648"/>
    <s v="Sum Cardcommision, creditcard companies"/>
    <s v="CreditMemo"/>
    <n v="314.44"/>
    <x v="3"/>
  </r>
  <r>
    <x v="1"/>
    <x v="25"/>
    <x v="59"/>
    <x v="8"/>
    <n v="44787"/>
    <n v="520649"/>
    <s v="Sum Cardcommision, creditcard companies"/>
    <s v="CreditMemo"/>
    <n v="287.72000000000003"/>
    <x v="3"/>
  </r>
  <r>
    <x v="1"/>
    <x v="25"/>
    <x v="59"/>
    <x v="8"/>
    <n v="44788"/>
    <n v="520650"/>
    <s v="Sum Cardcommision, creditcard companies"/>
    <s v="CreditMemo"/>
    <n v="178.02"/>
    <x v="3"/>
  </r>
  <r>
    <x v="1"/>
    <x v="25"/>
    <x v="59"/>
    <x v="8"/>
    <n v="44789"/>
    <n v="520651"/>
    <s v="Sum Cardcommision, creditcard companies"/>
    <s v="CreditMemo"/>
    <n v="151.97999999999999"/>
    <x v="3"/>
  </r>
  <r>
    <x v="1"/>
    <x v="25"/>
    <x v="59"/>
    <x v="8"/>
    <n v="44790"/>
    <n v="520653"/>
    <s v="Sum Cardcommision, creditcard companies"/>
    <s v="CreditMemo"/>
    <n v="146.62"/>
    <x v="3"/>
  </r>
  <r>
    <x v="1"/>
    <x v="25"/>
    <x v="59"/>
    <x v="8"/>
    <n v="44791"/>
    <n v="520654"/>
    <s v="Sum Cardcommision, creditcard companies"/>
    <s v="CreditMemo"/>
    <n v="192.93"/>
    <x v="3"/>
  </r>
  <r>
    <x v="1"/>
    <x v="25"/>
    <x v="59"/>
    <x v="8"/>
    <n v="44792"/>
    <n v="520655"/>
    <s v="Sum Cardcommision, creditcard companies"/>
    <s v="CreditMemo"/>
    <n v="179.93"/>
    <x v="3"/>
  </r>
  <r>
    <x v="1"/>
    <x v="25"/>
    <x v="59"/>
    <x v="8"/>
    <n v="44793"/>
    <n v="520656"/>
    <s v="Sum Cardcommision, creditcard companies"/>
    <s v="CreditMemo"/>
    <n v="116.77"/>
    <x v="3"/>
  </r>
  <r>
    <x v="1"/>
    <x v="25"/>
    <x v="59"/>
    <x v="8"/>
    <n v="44794"/>
    <n v="520657"/>
    <s v="Sum Cardcommision, creditcard companies"/>
    <s v="CreditMemo"/>
    <n v="140.02000000000001"/>
    <x v="3"/>
  </r>
  <r>
    <x v="1"/>
    <x v="25"/>
    <x v="59"/>
    <x v="8"/>
    <n v="44795"/>
    <n v="520659"/>
    <s v="Sum Cardcommision, creditcard companies"/>
    <s v="CreditMemo"/>
    <n v="158.28"/>
    <x v="3"/>
  </r>
  <r>
    <x v="1"/>
    <x v="25"/>
    <x v="59"/>
    <x v="8"/>
    <n v="44796"/>
    <n v="520660"/>
    <s v="Sum Cardcommision, creditcard companies"/>
    <s v="CreditMemo"/>
    <n v="151.24"/>
    <x v="3"/>
  </r>
  <r>
    <x v="1"/>
    <x v="25"/>
    <x v="59"/>
    <x v="8"/>
    <n v="44797"/>
    <n v="520661"/>
    <s v="Sum Cardcommision, creditcard companies"/>
    <s v="CreditMemo"/>
    <n v="129.72999999999999"/>
    <x v="3"/>
  </r>
  <r>
    <x v="1"/>
    <x v="25"/>
    <x v="59"/>
    <x v="8"/>
    <n v="44798"/>
    <n v="520662"/>
    <s v="Sum Cardcommision, creditcard companies"/>
    <s v="CreditMemo"/>
    <n v="150.26"/>
    <x v="3"/>
  </r>
  <r>
    <x v="1"/>
    <x v="25"/>
    <x v="59"/>
    <x v="8"/>
    <n v="44799"/>
    <n v="520664"/>
    <s v="Sum Cardcommision, creditcard companies"/>
    <s v="CreditMemo"/>
    <n v="153.77000000000001"/>
    <x v="3"/>
  </r>
  <r>
    <x v="1"/>
    <x v="25"/>
    <x v="59"/>
    <x v="8"/>
    <n v="44800"/>
    <n v="520665"/>
    <s v="Sum Cardcommision, creditcard companies"/>
    <s v="CreditMemo"/>
    <n v="143.1"/>
    <x v="3"/>
  </r>
  <r>
    <x v="1"/>
    <x v="25"/>
    <x v="59"/>
    <x v="8"/>
    <n v="44801"/>
    <n v="520666"/>
    <s v="Sum Cardcommision, creditcard companies"/>
    <s v="CreditMemo"/>
    <n v="176.47"/>
    <x v="3"/>
  </r>
  <r>
    <x v="1"/>
    <x v="25"/>
    <x v="59"/>
    <x v="8"/>
    <n v="44802"/>
    <n v="520668"/>
    <s v="Sum Cardcommision, creditcard companies"/>
    <s v="CreditMemo"/>
    <n v="407.89"/>
    <x v="3"/>
  </r>
  <r>
    <x v="1"/>
    <x v="25"/>
    <x v="59"/>
    <x v="8"/>
    <n v="44803"/>
    <n v="520670"/>
    <s v="Sum Cardcommision, creditcard companies"/>
    <s v="CreditMemo"/>
    <n v="236.52"/>
    <x v="3"/>
  </r>
  <r>
    <x v="1"/>
    <x v="25"/>
    <x v="59"/>
    <x v="1"/>
    <n v="44593"/>
    <n v="2329"/>
    <s v="kortgebyr mastercard + maestro Q2 2021"/>
    <s v="St 1"/>
    <n v="-7362"/>
    <x v="3"/>
  </r>
  <r>
    <x v="1"/>
    <x v="25"/>
    <x v="59"/>
    <x v="7"/>
    <n v="44805"/>
    <n v="520674"/>
    <s v="Sum Cardcommision, creditcard companies"/>
    <s v="CreditMemo"/>
    <n v="209.08"/>
    <x v="3"/>
  </r>
  <r>
    <x v="1"/>
    <x v="25"/>
    <x v="59"/>
    <x v="7"/>
    <n v="44806"/>
    <n v="520675"/>
    <s v="Sum Cardcommision, creditcard companies"/>
    <s v="CreditMemo"/>
    <n v="236.79"/>
    <x v="3"/>
  </r>
  <r>
    <x v="1"/>
    <x v="25"/>
    <x v="59"/>
    <x v="7"/>
    <n v="44807"/>
    <n v="520676"/>
    <s v="Sum Cardcommision, creditcard companies"/>
    <s v="CreditMemo"/>
    <n v="250.33"/>
    <x v="3"/>
  </r>
  <r>
    <x v="1"/>
    <x v="25"/>
    <x v="59"/>
    <x v="7"/>
    <n v="44808"/>
    <n v="520677"/>
    <s v="Sum Cardcommision, creditcard companies"/>
    <s v="CreditMemo"/>
    <n v="242.4"/>
    <x v="3"/>
  </r>
  <r>
    <x v="1"/>
    <x v="25"/>
    <x v="59"/>
    <x v="7"/>
    <n v="44809"/>
    <n v="520679"/>
    <s v="Sum Cardcommision, creditcard companies"/>
    <s v="CreditMemo"/>
    <n v="162.31"/>
    <x v="3"/>
  </r>
  <r>
    <x v="1"/>
    <x v="25"/>
    <x v="59"/>
    <x v="7"/>
    <n v="44810"/>
    <n v="520680"/>
    <s v="Sum Cardcommision, creditcard companies"/>
    <s v="CreditMemo"/>
    <n v="142.80000000000001"/>
    <x v="3"/>
  </r>
  <r>
    <x v="1"/>
    <x v="25"/>
    <x v="59"/>
    <x v="7"/>
    <n v="44811"/>
    <n v="520681"/>
    <s v="Sum Cardcommision, creditcard companies"/>
    <s v="CreditMemo"/>
    <n v="98.11"/>
    <x v="3"/>
  </r>
  <r>
    <x v="1"/>
    <x v="25"/>
    <x v="59"/>
    <x v="7"/>
    <n v="44812"/>
    <n v="520683"/>
    <s v="Sum Cardcommision, creditcard companies"/>
    <s v="CreditMemo"/>
    <n v="138.04"/>
    <x v="3"/>
  </r>
  <r>
    <x v="1"/>
    <x v="25"/>
    <x v="59"/>
    <x v="7"/>
    <n v="44813"/>
    <n v="520684"/>
    <s v="Sum Cardcommision, creditcard companies"/>
    <s v="CreditMemo"/>
    <n v="112.03"/>
    <x v="3"/>
  </r>
  <r>
    <x v="1"/>
    <x v="25"/>
    <x v="59"/>
    <x v="7"/>
    <n v="44814"/>
    <n v="520685"/>
    <s v="Sum Cardcommision, creditcard companies"/>
    <s v="CreditMemo"/>
    <n v="220.8"/>
    <x v="3"/>
  </r>
  <r>
    <x v="1"/>
    <x v="25"/>
    <x v="59"/>
    <x v="7"/>
    <n v="44815"/>
    <n v="520686"/>
    <s v="Sum Cardcommision, creditcard companies"/>
    <s v="CreditMemo"/>
    <n v="373.44"/>
    <x v="3"/>
  </r>
  <r>
    <x v="1"/>
    <x v="25"/>
    <x v="59"/>
    <x v="7"/>
    <n v="44816"/>
    <n v="520687"/>
    <s v="Sum Cardcommision, creditcard companies"/>
    <s v="CreditMemo"/>
    <n v="119.46"/>
    <x v="3"/>
  </r>
  <r>
    <x v="1"/>
    <x v="25"/>
    <x v="59"/>
    <x v="7"/>
    <n v="44817"/>
    <n v="520689"/>
    <s v="Sum Cardcommision, creditcard companies"/>
    <s v="CreditMemo"/>
    <n v="17.5"/>
    <x v="3"/>
  </r>
  <r>
    <x v="1"/>
    <x v="25"/>
    <x v="59"/>
    <x v="7"/>
    <n v="44817"/>
    <n v="520690"/>
    <s v="Sum Cardcommision, creditcard companies"/>
    <s v="CreditMemo"/>
    <n v="17.920000000000002"/>
    <x v="3"/>
  </r>
  <r>
    <x v="1"/>
    <x v="25"/>
    <x v="59"/>
    <x v="7"/>
    <n v="44817"/>
    <n v="520691"/>
    <s v="Sum Cardcommision, creditcard companies"/>
    <s v="CreditMemo"/>
    <n v="36.020000000000003"/>
    <x v="3"/>
  </r>
  <r>
    <x v="1"/>
    <x v="25"/>
    <x v="59"/>
    <x v="7"/>
    <n v="44818"/>
    <n v="520692"/>
    <s v="Sum Cardcommision, creditcard companies"/>
    <s v="CreditMemo"/>
    <n v="105.22"/>
    <x v="3"/>
  </r>
  <r>
    <x v="1"/>
    <x v="25"/>
    <x v="59"/>
    <x v="7"/>
    <n v="44819"/>
    <n v="520693"/>
    <s v="Sum Cardcommision, creditcard companies"/>
    <s v="CreditMemo"/>
    <n v="116.03"/>
    <x v="3"/>
  </r>
  <r>
    <x v="1"/>
    <x v="25"/>
    <x v="59"/>
    <x v="7"/>
    <n v="44820"/>
    <n v="520695"/>
    <s v="Sum Cardcommision, creditcard companies"/>
    <s v="CreditMemo"/>
    <n v="120.45"/>
    <x v="3"/>
  </r>
  <r>
    <x v="1"/>
    <x v="25"/>
    <x v="59"/>
    <x v="7"/>
    <n v="44821"/>
    <n v="520696"/>
    <s v="Sum Cardcommision, creditcard companies"/>
    <s v="CreditMemo"/>
    <n v="176.74"/>
    <x v="3"/>
  </r>
  <r>
    <x v="1"/>
    <x v="25"/>
    <x v="59"/>
    <x v="7"/>
    <n v="44822"/>
    <n v="520697"/>
    <s v="Sum Cardcommision, creditcard companies"/>
    <s v="CreditMemo"/>
    <n v="179.38"/>
    <x v="3"/>
  </r>
  <r>
    <x v="1"/>
    <x v="25"/>
    <x v="59"/>
    <x v="7"/>
    <n v="44823"/>
    <n v="520698"/>
    <s v="Sum Cardcommision, creditcard companies"/>
    <s v="CreditMemo"/>
    <n v="159.81"/>
    <x v="3"/>
  </r>
  <r>
    <x v="1"/>
    <x v="25"/>
    <x v="59"/>
    <x v="7"/>
    <n v="44824"/>
    <n v="520699"/>
    <s v="Sum Cardcommision, creditcard companies"/>
    <s v="CreditMemo"/>
    <n v="202.83"/>
    <x v="3"/>
  </r>
  <r>
    <x v="1"/>
    <x v="25"/>
    <x v="59"/>
    <x v="7"/>
    <n v="44825"/>
    <n v="520701"/>
    <s v="Sum Cardcommision, creditcard companies"/>
    <s v="CreditMemo"/>
    <n v="141.77000000000001"/>
    <x v="3"/>
  </r>
  <r>
    <x v="1"/>
    <x v="25"/>
    <x v="59"/>
    <x v="7"/>
    <n v="44826"/>
    <n v="520702"/>
    <s v="Sum Cardcommision, creditcard companies"/>
    <s v="CreditMemo"/>
    <n v="136.52000000000001"/>
    <x v="3"/>
  </r>
  <r>
    <x v="1"/>
    <x v="25"/>
    <x v="59"/>
    <x v="7"/>
    <n v="44827"/>
    <n v="520704"/>
    <s v="Sum Cardcommision, creditcard companies"/>
    <s v="CreditMemo"/>
    <n v="147.65"/>
    <x v="3"/>
  </r>
  <r>
    <x v="1"/>
    <x v="25"/>
    <x v="59"/>
    <x v="7"/>
    <n v="44828"/>
    <n v="520705"/>
    <s v="Sum Cardcommision, creditcard companies"/>
    <s v="CreditMemo"/>
    <n v="133.16"/>
    <x v="3"/>
  </r>
  <r>
    <x v="1"/>
    <x v="25"/>
    <x v="59"/>
    <x v="7"/>
    <n v="44829"/>
    <n v="520706"/>
    <s v="Sum Cardcommision, creditcard companies"/>
    <s v="CreditMemo"/>
    <n v="157.62"/>
    <x v="3"/>
  </r>
  <r>
    <x v="1"/>
    <x v="25"/>
    <x v="59"/>
    <x v="7"/>
    <n v="44830"/>
    <n v="520708"/>
    <s v="Sum Cardcommision, creditcard companies"/>
    <s v="CreditMemo"/>
    <n v="103.34"/>
    <x v="3"/>
  </r>
  <r>
    <x v="1"/>
    <x v="25"/>
    <x v="59"/>
    <x v="7"/>
    <n v="44831"/>
    <n v="520710"/>
    <s v="Sum Cardcommision, creditcard companies"/>
    <s v="CreditMemo"/>
    <n v="105.19"/>
    <x v="3"/>
  </r>
  <r>
    <x v="1"/>
    <x v="25"/>
    <x v="59"/>
    <x v="7"/>
    <n v="44832"/>
    <n v="520711"/>
    <s v="Sum Cardcommision, creditcard companies"/>
    <s v="CreditMemo"/>
    <n v="109.06"/>
    <x v="3"/>
  </r>
  <r>
    <x v="1"/>
    <x v="25"/>
    <x v="59"/>
    <x v="7"/>
    <n v="44833"/>
    <n v="520712"/>
    <s v="Sum Cardcommision, creditcard companies"/>
    <s v="CreditMemo"/>
    <n v="176.35"/>
    <x v="3"/>
  </r>
  <r>
    <x v="1"/>
    <x v="25"/>
    <x v="59"/>
    <x v="7"/>
    <n v="44834"/>
    <n v="520714"/>
    <s v="Sum Cardcommision, creditcard companies"/>
    <s v="CreditMemo"/>
    <n v="182.17"/>
    <x v="3"/>
  </r>
  <r>
    <x v="1"/>
    <x v="25"/>
    <x v="59"/>
    <x v="10"/>
    <n v="44835"/>
    <n v="520716"/>
    <s v="Sum Cardcommision, creditcard companies"/>
    <s v="CreditMemo"/>
    <n v="134.47999999999999"/>
    <x v="3"/>
  </r>
  <r>
    <x v="1"/>
    <x v="25"/>
    <x v="59"/>
    <x v="10"/>
    <n v="44836"/>
    <n v="520717"/>
    <s v="Sum Cardcommision, creditcard companies"/>
    <s v="CreditMemo"/>
    <n v="112.88"/>
    <x v="3"/>
  </r>
  <r>
    <x v="1"/>
    <x v="25"/>
    <x v="59"/>
    <x v="10"/>
    <n v="44837"/>
    <n v="520718"/>
    <s v="Sum Cardcommision, creditcard companies"/>
    <s v="CreditMemo"/>
    <n v="139.24"/>
    <x v="3"/>
  </r>
  <r>
    <x v="1"/>
    <x v="25"/>
    <x v="59"/>
    <x v="10"/>
    <n v="44838"/>
    <n v="520719"/>
    <s v="Sum Cardcommision, creditcard companies"/>
    <s v="CreditMemo"/>
    <n v="84.2"/>
    <x v="3"/>
  </r>
  <r>
    <x v="1"/>
    <x v="25"/>
    <x v="59"/>
    <x v="10"/>
    <n v="44839"/>
    <n v="520721"/>
    <s v="Sum Cardcommision, creditcard companies"/>
    <s v="CreditMemo"/>
    <n v="95.13"/>
    <x v="3"/>
  </r>
  <r>
    <x v="1"/>
    <x v="25"/>
    <x v="59"/>
    <x v="10"/>
    <n v="44840"/>
    <n v="520722"/>
    <s v="Sum Cardcommision, creditcard companies"/>
    <s v="CreditMemo"/>
    <n v="166.13"/>
    <x v="3"/>
  </r>
  <r>
    <x v="1"/>
    <x v="25"/>
    <x v="59"/>
    <x v="10"/>
    <n v="44841"/>
    <n v="520723"/>
    <s v="Sum Cardcommision, creditcard companies"/>
    <s v="CreditMemo"/>
    <n v="144.68"/>
    <x v="3"/>
  </r>
  <r>
    <x v="1"/>
    <x v="25"/>
    <x v="59"/>
    <x v="10"/>
    <n v="44842"/>
    <n v="520724"/>
    <s v="Sum Cardcommision, creditcard companies"/>
    <s v="CreditMemo"/>
    <n v="116.06"/>
    <x v="3"/>
  </r>
  <r>
    <x v="1"/>
    <x v="25"/>
    <x v="59"/>
    <x v="10"/>
    <n v="44843"/>
    <n v="520725"/>
    <s v="Sum Cardcommision, creditcard companies"/>
    <s v="CreditMemo"/>
    <n v="151.69"/>
    <x v="3"/>
  </r>
  <r>
    <x v="1"/>
    <x v="25"/>
    <x v="59"/>
    <x v="10"/>
    <n v="44844"/>
    <n v="520727"/>
    <s v="Sum Cardcommision, creditcard companies"/>
    <s v="CreditMemo"/>
    <n v="102.72"/>
    <x v="3"/>
  </r>
  <r>
    <x v="1"/>
    <x v="25"/>
    <x v="59"/>
    <x v="10"/>
    <n v="44845"/>
    <n v="520728"/>
    <s v="Sum Cardcommision, creditcard companies"/>
    <s v="CreditMemo"/>
    <n v="135.94"/>
    <x v="3"/>
  </r>
  <r>
    <x v="1"/>
    <x v="25"/>
    <x v="59"/>
    <x v="10"/>
    <n v="44846"/>
    <n v="520729"/>
    <s v="Sum Cardcommision, creditcard companies"/>
    <s v="CreditMemo"/>
    <n v="108.67"/>
    <x v="3"/>
  </r>
  <r>
    <x v="1"/>
    <x v="25"/>
    <x v="59"/>
    <x v="10"/>
    <n v="44847"/>
    <n v="520731"/>
    <s v="Sum Cardcommision, creditcard companies"/>
    <s v="CreditMemo"/>
    <n v="151.15"/>
    <x v="3"/>
  </r>
  <r>
    <x v="1"/>
    <x v="25"/>
    <x v="59"/>
    <x v="10"/>
    <n v="44848"/>
    <n v="520732"/>
    <s v="Sum Cardcommision, creditcard companies"/>
    <s v="CreditMemo"/>
    <n v="83.46"/>
    <x v="3"/>
  </r>
  <r>
    <x v="1"/>
    <x v="25"/>
    <x v="59"/>
    <x v="10"/>
    <n v="44849"/>
    <n v="520733"/>
    <s v="Sum Cardcommision, creditcard companies"/>
    <s v="CreditMemo"/>
    <n v="202.13"/>
    <x v="3"/>
  </r>
  <r>
    <x v="1"/>
    <x v="25"/>
    <x v="59"/>
    <x v="10"/>
    <n v="44850"/>
    <n v="520734"/>
    <s v="Sum Cardcommision, creditcard companies"/>
    <s v="CreditMemo"/>
    <n v="124.41"/>
    <x v="3"/>
  </r>
  <r>
    <x v="1"/>
    <x v="25"/>
    <x v="59"/>
    <x v="10"/>
    <n v="44851"/>
    <n v="520735"/>
    <s v="Sum Cardcommision, creditcard companies"/>
    <s v="CreditMemo"/>
    <n v="145.18"/>
    <x v="3"/>
  </r>
  <r>
    <x v="1"/>
    <x v="25"/>
    <x v="59"/>
    <x v="10"/>
    <n v="44852"/>
    <n v="520736"/>
    <s v="Sum Cardcommision, creditcard companies"/>
    <s v="CreditMemo"/>
    <n v="152.38"/>
    <x v="3"/>
  </r>
  <r>
    <x v="1"/>
    <x v="25"/>
    <x v="59"/>
    <x v="10"/>
    <n v="44853"/>
    <n v="520738"/>
    <s v="Sum Cardcommision, creditcard companies"/>
    <s v="CreditMemo"/>
    <n v="167.77"/>
    <x v="3"/>
  </r>
  <r>
    <x v="1"/>
    <x v="25"/>
    <x v="59"/>
    <x v="10"/>
    <n v="44854"/>
    <n v="520739"/>
    <s v="Sum Cardcommision, creditcard companies"/>
    <s v="CreditMemo"/>
    <n v="172.55"/>
    <x v="3"/>
  </r>
  <r>
    <x v="1"/>
    <x v="25"/>
    <x v="59"/>
    <x v="10"/>
    <n v="44855"/>
    <n v="520740"/>
    <s v="Sum Cardcommision, creditcard companies"/>
    <s v="CreditMemo"/>
    <n v="187.76"/>
    <x v="3"/>
  </r>
  <r>
    <x v="1"/>
    <x v="25"/>
    <x v="59"/>
    <x v="10"/>
    <n v="44856"/>
    <n v="520741"/>
    <s v="Sum Cardcommision, creditcard companies"/>
    <s v="CreditMemo"/>
    <n v="146.94999999999999"/>
    <x v="3"/>
  </r>
  <r>
    <x v="1"/>
    <x v="25"/>
    <x v="59"/>
    <x v="10"/>
    <n v="44857"/>
    <n v="520742"/>
    <s v="Sum Cardcommision, creditcard companies"/>
    <s v="CreditMemo"/>
    <n v="143.59"/>
    <x v="3"/>
  </r>
  <r>
    <x v="1"/>
    <x v="25"/>
    <x v="59"/>
    <x v="10"/>
    <n v="44858"/>
    <n v="520744"/>
    <s v="Sum Cardcommision, creditcard companies"/>
    <s v="CreditMemo"/>
    <n v="125.11"/>
    <x v="3"/>
  </r>
  <r>
    <x v="1"/>
    <x v="25"/>
    <x v="59"/>
    <x v="10"/>
    <n v="44859"/>
    <n v="520745"/>
    <s v="Sum Cardcommision, creditcard companies"/>
    <s v="CreditMemo"/>
    <n v="153.65"/>
    <x v="3"/>
  </r>
  <r>
    <x v="1"/>
    <x v="25"/>
    <x v="59"/>
    <x v="10"/>
    <n v="44860"/>
    <n v="520746"/>
    <s v="Sum Cardcommision, creditcard companies"/>
    <s v="CreditMemo"/>
    <n v="190.96"/>
    <x v="3"/>
  </r>
  <r>
    <x v="1"/>
    <x v="25"/>
    <x v="59"/>
    <x v="10"/>
    <n v="44861"/>
    <n v="520747"/>
    <s v="Sum Cardcommision, creditcard companies"/>
    <s v="CreditMemo"/>
    <n v="149.69999999999999"/>
    <x v="3"/>
  </r>
  <r>
    <x v="1"/>
    <x v="25"/>
    <x v="59"/>
    <x v="10"/>
    <n v="44862"/>
    <n v="520749"/>
    <s v="Sum Cardcommision, creditcard companies"/>
    <s v="CreditMemo"/>
    <n v="103.45"/>
    <x v="3"/>
  </r>
  <r>
    <x v="1"/>
    <x v="25"/>
    <x v="59"/>
    <x v="10"/>
    <n v="44863"/>
    <n v="520750"/>
    <s v="Sum Cardcommision, creditcard companies"/>
    <s v="CreditMemo"/>
    <n v="127.99"/>
    <x v="3"/>
  </r>
  <r>
    <x v="1"/>
    <x v="25"/>
    <x v="59"/>
    <x v="10"/>
    <n v="44864"/>
    <n v="520751"/>
    <s v="Sum Cardcommision, creditcard companies"/>
    <s v="CreditMemo"/>
    <n v="168.87"/>
    <x v="3"/>
  </r>
  <r>
    <x v="1"/>
    <x v="25"/>
    <x v="59"/>
    <x v="10"/>
    <n v="44865"/>
    <n v="520753"/>
    <s v="Sum Cardcommision, creditcard companies"/>
    <s v="CreditMemo"/>
    <n v="209.52"/>
    <x v="3"/>
  </r>
  <r>
    <x v="1"/>
    <x v="25"/>
    <x v="59"/>
    <x v="4"/>
    <n v="44673"/>
    <n v="520503"/>
    <s v="Sum Cardcommision, creditcard companies"/>
    <s v="CreditMemo"/>
    <n v="150.49"/>
    <x v="3"/>
  </r>
  <r>
    <x v="1"/>
    <x v="25"/>
    <x v="59"/>
    <x v="4"/>
    <n v="44674"/>
    <n v="520504"/>
    <s v="Sum Cardcommision, creditcard companies"/>
    <s v="CreditMemo"/>
    <n v="112.36"/>
    <x v="3"/>
  </r>
  <r>
    <x v="1"/>
    <x v="25"/>
    <x v="59"/>
    <x v="4"/>
    <n v="44675"/>
    <n v="520505"/>
    <s v="Sum Cardcommision, creditcard companies"/>
    <s v="CreditMemo"/>
    <n v="149.54"/>
    <x v="3"/>
  </r>
  <r>
    <x v="1"/>
    <x v="25"/>
    <x v="59"/>
    <x v="4"/>
    <n v="44676"/>
    <n v="520507"/>
    <s v="Sum Cardcommision, creditcard companies"/>
    <s v="CreditMemo"/>
    <n v="141.13999999999999"/>
    <x v="3"/>
  </r>
  <r>
    <x v="1"/>
    <x v="25"/>
    <x v="59"/>
    <x v="4"/>
    <n v="44677"/>
    <n v="520508"/>
    <s v="Sum Cardcommision, creditcard companies"/>
    <s v="CreditMemo"/>
    <n v="101.89"/>
    <x v="3"/>
  </r>
  <r>
    <x v="1"/>
    <x v="25"/>
    <x v="59"/>
    <x v="4"/>
    <n v="44678"/>
    <n v="520509"/>
    <s v="Sum Cardcommision, creditcard companies"/>
    <s v="CreditMemo"/>
    <n v="115.11"/>
    <x v="3"/>
  </r>
  <r>
    <x v="1"/>
    <x v="25"/>
    <x v="59"/>
    <x v="4"/>
    <n v="44679"/>
    <n v="520511"/>
    <s v="Sum Cardcommision, creditcard companies"/>
    <s v="CreditMemo"/>
    <n v="121.76"/>
    <x v="3"/>
  </r>
  <r>
    <x v="1"/>
    <x v="25"/>
    <x v="59"/>
    <x v="4"/>
    <n v="44680"/>
    <n v="520512"/>
    <s v="Sum Cardcommision, creditcard companies"/>
    <s v="CreditMemo"/>
    <n v="112.66"/>
    <x v="3"/>
  </r>
  <r>
    <x v="1"/>
    <x v="25"/>
    <x v="59"/>
    <x v="4"/>
    <n v="44681"/>
    <n v="520513"/>
    <s v="Sum Cardcommision, creditcard companies"/>
    <s v="CreditMemo"/>
    <n v="92.17"/>
    <x v="3"/>
  </r>
  <r>
    <x v="1"/>
    <x v="25"/>
    <x v="59"/>
    <x v="4"/>
    <n v="44670"/>
    <n v="520498"/>
    <s v="Gebyr mastercard og maestro"/>
    <s v=" "/>
    <n v="4405"/>
    <x v="3"/>
  </r>
  <r>
    <x v="1"/>
    <x v="25"/>
    <x v="59"/>
    <x v="4"/>
    <n v="44652"/>
    <n v="520477"/>
    <s v="Sum Cardcommision, creditcard companies"/>
    <s v="CreditMemo"/>
    <n v="124.18"/>
    <x v="3"/>
  </r>
  <r>
    <x v="1"/>
    <x v="25"/>
    <x v="59"/>
    <x v="4"/>
    <n v="44653"/>
    <n v="520478"/>
    <s v="Sum Cardcommision, creditcard companies"/>
    <s v="CreditMemo"/>
    <n v="217.74"/>
    <x v="3"/>
  </r>
  <r>
    <x v="1"/>
    <x v="25"/>
    <x v="59"/>
    <x v="4"/>
    <n v="44654"/>
    <n v="520479"/>
    <s v="Sum Cardcommision, creditcard companies"/>
    <s v="CreditMemo"/>
    <n v="132.47999999999999"/>
    <x v="3"/>
  </r>
  <r>
    <x v="1"/>
    <x v="25"/>
    <x v="59"/>
    <x v="4"/>
    <n v="44655"/>
    <n v="520480"/>
    <s v="Sum Cardcommision, creditcard companies"/>
    <s v="CreditMemo"/>
    <n v="132.78"/>
    <x v="3"/>
  </r>
  <r>
    <x v="1"/>
    <x v="25"/>
    <x v="59"/>
    <x v="4"/>
    <n v="44656"/>
    <n v="520481"/>
    <s v="Sum Cardcommision, creditcard companies"/>
    <s v="CreditMemo"/>
    <n v="93.54"/>
    <x v="3"/>
  </r>
  <r>
    <x v="1"/>
    <x v="25"/>
    <x v="59"/>
    <x v="4"/>
    <n v="44657"/>
    <n v="520482"/>
    <s v="Sum Cardcommision, creditcard companies"/>
    <s v="CreditMemo"/>
    <n v="119.13"/>
    <x v="3"/>
  </r>
  <r>
    <x v="1"/>
    <x v="25"/>
    <x v="59"/>
    <x v="4"/>
    <n v="44658"/>
    <n v="520484"/>
    <s v="Sum Cardcommision, creditcard companies"/>
    <s v="CreditMemo"/>
    <n v="132.72999999999999"/>
    <x v="3"/>
  </r>
  <r>
    <x v="1"/>
    <x v="25"/>
    <x v="59"/>
    <x v="4"/>
    <n v="44659"/>
    <n v="520485"/>
    <s v="Sum Cardcommision, creditcard companies"/>
    <s v="CreditMemo"/>
    <n v="145.41"/>
    <x v="3"/>
  </r>
  <r>
    <x v="1"/>
    <x v="25"/>
    <x v="59"/>
    <x v="4"/>
    <n v="44660"/>
    <n v="520486"/>
    <s v="Sum Cardcommision, creditcard companies"/>
    <s v="CreditMemo"/>
    <n v="78.900000000000006"/>
    <x v="3"/>
  </r>
  <r>
    <x v="1"/>
    <x v="25"/>
    <x v="59"/>
    <x v="4"/>
    <n v="44661"/>
    <n v="520487"/>
    <s v="Sum Cardcommision, creditcard companies"/>
    <s v="CreditMemo"/>
    <n v="100.59"/>
    <x v="3"/>
  </r>
  <r>
    <x v="1"/>
    <x v="25"/>
    <x v="59"/>
    <x v="4"/>
    <n v="44662"/>
    <n v="520488"/>
    <s v="Sum Cardcommision, creditcard companies"/>
    <s v="CreditMemo"/>
    <n v="112.43"/>
    <x v="3"/>
  </r>
  <r>
    <x v="1"/>
    <x v="25"/>
    <x v="59"/>
    <x v="4"/>
    <n v="44663"/>
    <n v="520490"/>
    <s v="Sum Cardcommision, creditcard companies"/>
    <s v="CreditMemo"/>
    <n v="150.69"/>
    <x v="3"/>
  </r>
  <r>
    <x v="1"/>
    <x v="25"/>
    <x v="59"/>
    <x v="4"/>
    <n v="44664"/>
    <n v="520491"/>
    <s v="Sum Cardcommision, creditcard companies"/>
    <s v="CreditMemo"/>
    <n v="130.69999999999999"/>
    <x v="3"/>
  </r>
  <r>
    <x v="1"/>
    <x v="25"/>
    <x v="59"/>
    <x v="4"/>
    <n v="44665"/>
    <n v="520492"/>
    <s v="Sum Cardcommision, creditcard companies"/>
    <s v="CreditMemo"/>
    <n v="138.53"/>
    <x v="3"/>
  </r>
  <r>
    <x v="1"/>
    <x v="25"/>
    <x v="59"/>
    <x v="4"/>
    <n v="44666"/>
    <n v="520493"/>
    <s v="Sum Cardcommision, creditcard companies"/>
    <s v="CreditMemo"/>
    <n v="167.85"/>
    <x v="3"/>
  </r>
  <r>
    <x v="1"/>
    <x v="25"/>
    <x v="59"/>
    <x v="4"/>
    <n v="44667"/>
    <n v="520494"/>
    <s v="Sum Cardcommision, creditcard companies"/>
    <s v="CreditMemo"/>
    <n v="90"/>
    <x v="3"/>
  </r>
  <r>
    <x v="1"/>
    <x v="25"/>
    <x v="59"/>
    <x v="4"/>
    <n v="44668"/>
    <n v="520495"/>
    <s v="Sum Cardcommision, creditcard companies"/>
    <s v="CreditMemo"/>
    <n v="127.87"/>
    <x v="3"/>
  </r>
  <r>
    <x v="1"/>
    <x v="25"/>
    <x v="59"/>
    <x v="4"/>
    <n v="44669"/>
    <n v="520497"/>
    <s v="Sum Cardcommision, creditcard companies"/>
    <s v="CreditMemo"/>
    <n v="175.47"/>
    <x v="3"/>
  </r>
  <r>
    <x v="1"/>
    <x v="25"/>
    <x v="59"/>
    <x v="4"/>
    <n v="44670"/>
    <n v="520499"/>
    <s v="Sum Cardcommision, creditcard companies"/>
    <s v="CreditMemo"/>
    <n v="123.51"/>
    <x v="3"/>
  </r>
  <r>
    <x v="1"/>
    <x v="25"/>
    <x v="59"/>
    <x v="4"/>
    <n v="44671"/>
    <n v="520500"/>
    <s v="Sum Cardcommision, creditcard companies"/>
    <s v="CreditMemo"/>
    <n v="110.42"/>
    <x v="3"/>
  </r>
  <r>
    <x v="1"/>
    <x v="25"/>
    <x v="59"/>
    <x v="4"/>
    <n v="44672"/>
    <n v="520502"/>
    <s v="Sum Cardcommision, creditcard companies"/>
    <s v="CreditMemo"/>
    <n v="149.52000000000001"/>
    <x v="3"/>
  </r>
  <r>
    <x v="1"/>
    <x v="25"/>
    <x v="59"/>
    <x v="11"/>
    <n v="44621"/>
    <n v="520438"/>
    <s v="Sum Cardcommision, creditcard companies"/>
    <s v="CreditMemo"/>
    <n v="118.08"/>
    <x v="3"/>
  </r>
  <r>
    <x v="1"/>
    <x v="25"/>
    <x v="59"/>
    <x v="11"/>
    <n v="44622"/>
    <n v="520439"/>
    <s v="Sum Cardcommision, creditcard companies"/>
    <s v="CreditMemo"/>
    <n v="110.35"/>
    <x v="3"/>
  </r>
  <r>
    <x v="1"/>
    <x v="25"/>
    <x v="59"/>
    <x v="11"/>
    <n v="44623"/>
    <n v="520441"/>
    <s v="Sum Cardcommision, creditcard companies"/>
    <s v="CreditMemo"/>
    <n v="86.88"/>
    <x v="3"/>
  </r>
  <r>
    <x v="1"/>
    <x v="25"/>
    <x v="59"/>
    <x v="11"/>
    <n v="44624"/>
    <n v="520442"/>
    <s v="Sum Cardcommision, creditcard companies"/>
    <s v="CreditMemo"/>
    <n v="93.34"/>
    <x v="3"/>
  </r>
  <r>
    <x v="1"/>
    <x v="25"/>
    <x v="59"/>
    <x v="11"/>
    <n v="44625"/>
    <n v="520443"/>
    <s v="Sum Cardcommision, creditcard companies"/>
    <s v="CreditMemo"/>
    <n v="101.34"/>
    <x v="3"/>
  </r>
  <r>
    <x v="1"/>
    <x v="25"/>
    <x v="59"/>
    <x v="11"/>
    <n v="44626"/>
    <n v="520444"/>
    <s v="Sum Cardcommision, creditcard companies"/>
    <s v="CreditMemo"/>
    <n v="122.67"/>
    <x v="3"/>
  </r>
  <r>
    <x v="1"/>
    <x v="25"/>
    <x v="59"/>
    <x v="11"/>
    <n v="44627"/>
    <n v="520445"/>
    <s v="Sum Cardcommision, creditcard companies"/>
    <s v="CreditMemo"/>
    <n v="110.89"/>
    <x v="3"/>
  </r>
  <r>
    <x v="1"/>
    <x v="25"/>
    <x v="59"/>
    <x v="11"/>
    <n v="44628"/>
    <n v="520446"/>
    <s v="Sum Cardcommision, creditcard companies"/>
    <s v="CreditMemo"/>
    <n v="77.67"/>
    <x v="3"/>
  </r>
  <r>
    <x v="1"/>
    <x v="25"/>
    <x v="59"/>
    <x v="11"/>
    <n v="44629"/>
    <n v="520449"/>
    <s v="Sum Cardcommision, creditcard companies"/>
    <s v="CreditMemo"/>
    <n v="88.55"/>
    <x v="3"/>
  </r>
  <r>
    <x v="1"/>
    <x v="25"/>
    <x v="59"/>
    <x v="11"/>
    <n v="44630"/>
    <n v="520450"/>
    <s v="Sum Cardcommision, creditcard companies"/>
    <s v="CreditMemo"/>
    <n v="104.45"/>
    <x v="3"/>
  </r>
  <r>
    <x v="1"/>
    <x v="25"/>
    <x v="59"/>
    <x v="11"/>
    <n v="44631"/>
    <n v="520451"/>
    <s v="Sum Cardcommision, creditcard companies"/>
    <s v="CreditMemo"/>
    <n v="117.88"/>
    <x v="3"/>
  </r>
  <r>
    <x v="1"/>
    <x v="25"/>
    <x v="59"/>
    <x v="11"/>
    <n v="44632"/>
    <n v="520452"/>
    <s v="Sum Cardcommision, creditcard companies"/>
    <s v="CreditMemo"/>
    <n v="84.89"/>
    <x v="3"/>
  </r>
  <r>
    <x v="1"/>
    <x v="25"/>
    <x v="59"/>
    <x v="11"/>
    <n v="44633"/>
    <n v="520453"/>
    <s v="Sum Cardcommision, creditcard companies"/>
    <s v="CreditMemo"/>
    <n v="91.48"/>
    <x v="3"/>
  </r>
  <r>
    <x v="1"/>
    <x v="25"/>
    <x v="59"/>
    <x v="11"/>
    <n v="44634"/>
    <n v="520454"/>
    <s v="Sum Cardcommision, creditcard companies"/>
    <s v="CreditMemo"/>
    <n v="81.58"/>
    <x v="3"/>
  </r>
  <r>
    <x v="1"/>
    <x v="25"/>
    <x v="59"/>
    <x v="11"/>
    <n v="44635"/>
    <n v="520455"/>
    <s v="Sum Cardcommision, creditcard companies"/>
    <s v="CreditMemo"/>
    <n v="58.55"/>
    <x v="3"/>
  </r>
  <r>
    <x v="1"/>
    <x v="25"/>
    <x v="59"/>
    <x v="11"/>
    <n v="44636"/>
    <n v="520456"/>
    <s v="Sum Cardcommision, creditcard companies"/>
    <s v="CreditMemo"/>
    <n v="99.38"/>
    <x v="3"/>
  </r>
  <r>
    <x v="1"/>
    <x v="25"/>
    <x v="59"/>
    <x v="11"/>
    <n v="44637"/>
    <n v="520458"/>
    <s v="Sum Cardcommision, creditcard companies"/>
    <s v="CreditMemo"/>
    <n v="96.34"/>
    <x v="3"/>
  </r>
  <r>
    <x v="1"/>
    <x v="25"/>
    <x v="59"/>
    <x v="11"/>
    <n v="44638"/>
    <n v="520459"/>
    <s v="Sum Cardcommision, creditcard companies"/>
    <s v="CreditMemo"/>
    <n v="124.41"/>
    <x v="3"/>
  </r>
  <r>
    <x v="1"/>
    <x v="25"/>
    <x v="59"/>
    <x v="11"/>
    <n v="44639"/>
    <n v="520460"/>
    <s v="Sum Cardcommision, creditcard companies"/>
    <s v="CreditMemo"/>
    <n v="76.45"/>
    <x v="3"/>
  </r>
  <r>
    <x v="1"/>
    <x v="25"/>
    <x v="59"/>
    <x v="11"/>
    <n v="44640"/>
    <n v="520461"/>
    <s v="Sum Cardcommision, creditcard companies"/>
    <s v="CreditMemo"/>
    <n v="146.22"/>
    <x v="3"/>
  </r>
  <r>
    <x v="1"/>
    <x v="25"/>
    <x v="59"/>
    <x v="11"/>
    <n v="44641"/>
    <n v="520462"/>
    <s v="Sum Cardcommision, creditcard companies"/>
    <s v="CreditMemo"/>
    <n v="125.88"/>
    <x v="3"/>
  </r>
  <r>
    <x v="1"/>
    <x v="25"/>
    <x v="59"/>
    <x v="11"/>
    <n v="44642"/>
    <n v="520464"/>
    <s v="Sum Cardcommision, creditcard companies"/>
    <s v="CreditMemo"/>
    <n v="74.78"/>
    <x v="3"/>
  </r>
  <r>
    <x v="1"/>
    <x v="25"/>
    <x v="59"/>
    <x v="11"/>
    <n v="44643"/>
    <n v="520465"/>
    <s v="Sum Cardcommision, creditcard companies"/>
    <s v="CreditMemo"/>
    <n v="111"/>
    <x v="3"/>
  </r>
  <r>
    <x v="1"/>
    <x v="25"/>
    <x v="59"/>
    <x v="11"/>
    <n v="44644"/>
    <n v="520466"/>
    <s v="Sum Cardcommision, creditcard companies"/>
    <s v="CreditMemo"/>
    <n v="93.99"/>
    <x v="3"/>
  </r>
  <r>
    <x v="1"/>
    <x v="25"/>
    <x v="59"/>
    <x v="11"/>
    <n v="44645"/>
    <n v="520467"/>
    <s v="Sum Cardcommision, creditcard companies"/>
    <s v="CreditMemo"/>
    <n v="70.2"/>
    <x v="3"/>
  </r>
  <r>
    <x v="1"/>
    <x v="25"/>
    <x v="59"/>
    <x v="11"/>
    <n v="44646"/>
    <n v="520468"/>
    <s v="Sum Cardcommision, creditcard companies"/>
    <s v="CreditMemo"/>
    <n v="133.86000000000001"/>
    <x v="3"/>
  </r>
  <r>
    <x v="1"/>
    <x v="25"/>
    <x v="59"/>
    <x v="11"/>
    <n v="44647"/>
    <n v="520469"/>
    <s v="Sum Cardcommision, creditcard companies"/>
    <s v="CreditMemo"/>
    <n v="103.75"/>
    <x v="3"/>
  </r>
  <r>
    <x v="1"/>
    <x v="25"/>
    <x v="59"/>
    <x v="11"/>
    <n v="44648"/>
    <n v="520471"/>
    <s v="Sum Cardcommision, creditcard companies"/>
    <s v="CreditMemo"/>
    <n v="99.73"/>
    <x v="3"/>
  </r>
  <r>
    <x v="1"/>
    <x v="25"/>
    <x v="59"/>
    <x v="11"/>
    <n v="44649"/>
    <n v="520472"/>
    <s v="Sum Cardcommision, creditcard companies"/>
    <s v="CreditMemo"/>
    <n v="97.63"/>
    <x v="3"/>
  </r>
  <r>
    <x v="1"/>
    <x v="25"/>
    <x v="59"/>
    <x v="11"/>
    <n v="44650"/>
    <n v="520473"/>
    <s v="Sum Cardcommision, creditcard companies"/>
    <s v="CreditMemo"/>
    <n v="87.84"/>
    <x v="3"/>
  </r>
  <r>
    <x v="1"/>
    <x v="25"/>
    <x v="59"/>
    <x v="11"/>
    <n v="44651"/>
    <n v="520475"/>
    <s v="Sum Cardcommision, creditcard companies"/>
    <s v="CreditMemo"/>
    <n v="77.64"/>
    <x v="3"/>
  </r>
  <r>
    <x v="1"/>
    <x v="25"/>
    <x v="59"/>
    <x v="0"/>
    <n v="44682"/>
    <n v="520515"/>
    <s v="Sum Cardcommision, creditcard companies"/>
    <s v="CreditMemo"/>
    <n v="155.74"/>
    <x v="3"/>
  </r>
  <r>
    <x v="1"/>
    <x v="25"/>
    <x v="59"/>
    <x v="0"/>
    <n v="44683"/>
    <n v="520516"/>
    <s v="Sum Cardcommision, creditcard companies"/>
    <s v="CreditMemo"/>
    <n v="96.39"/>
    <x v="3"/>
  </r>
  <r>
    <x v="1"/>
    <x v="25"/>
    <x v="59"/>
    <x v="0"/>
    <n v="44684"/>
    <n v="520518"/>
    <s v="Sum Cardcommision, creditcard companies"/>
    <s v="CreditMemo"/>
    <n v="88.91"/>
    <x v="3"/>
  </r>
  <r>
    <x v="1"/>
    <x v="25"/>
    <x v="59"/>
    <x v="0"/>
    <n v="44685"/>
    <n v="520519"/>
    <s v="Sum Cardcommision, creditcard companies"/>
    <s v="CreditMemo"/>
    <n v="88.42"/>
    <x v="3"/>
  </r>
  <r>
    <x v="1"/>
    <x v="25"/>
    <x v="59"/>
    <x v="0"/>
    <n v="44686"/>
    <n v="520521"/>
    <s v="Sum Cardcommision, creditcard companies"/>
    <s v="CreditMemo"/>
    <n v="209.84"/>
    <x v="3"/>
  </r>
  <r>
    <x v="1"/>
    <x v="25"/>
    <x v="59"/>
    <x v="0"/>
    <n v="44687"/>
    <n v="520522"/>
    <s v="Sum Cardcommision, creditcard companies"/>
    <s v="CreditMemo"/>
    <n v="97.72"/>
    <x v="3"/>
  </r>
  <r>
    <x v="1"/>
    <x v="25"/>
    <x v="59"/>
    <x v="0"/>
    <n v="44688"/>
    <n v="520523"/>
    <s v="Sum Cardcommision, creditcard companies"/>
    <s v="CreditMemo"/>
    <n v="115.98"/>
    <x v="3"/>
  </r>
  <r>
    <x v="1"/>
    <x v="25"/>
    <x v="59"/>
    <x v="0"/>
    <n v="44689"/>
    <n v="520524"/>
    <s v="Sum Cardcommision, creditcard companies"/>
    <s v="CreditMemo"/>
    <n v="148.44"/>
    <x v="3"/>
  </r>
  <r>
    <x v="1"/>
    <x v="25"/>
    <x v="59"/>
    <x v="0"/>
    <n v="44690"/>
    <n v="520525"/>
    <s v="Sum Cardcommision, creditcard companies"/>
    <s v="CreditMemo"/>
    <n v="94.39"/>
    <x v="3"/>
  </r>
  <r>
    <x v="1"/>
    <x v="25"/>
    <x v="59"/>
    <x v="0"/>
    <n v="44691"/>
    <n v="520527"/>
    <s v="Sum Cardcommision, creditcard companies"/>
    <s v="CreditMemo"/>
    <n v="113.14"/>
    <x v="3"/>
  </r>
  <r>
    <x v="1"/>
    <x v="25"/>
    <x v="59"/>
    <x v="0"/>
    <n v="44692"/>
    <n v="520528"/>
    <s v="Sum Cardcommision, creditcard companies"/>
    <s v="CreditMemo"/>
    <n v="89.11"/>
    <x v="3"/>
  </r>
  <r>
    <x v="1"/>
    <x v="25"/>
    <x v="59"/>
    <x v="0"/>
    <n v="44693"/>
    <n v="520529"/>
    <s v="Sum Cardcommision, creditcard companies"/>
    <s v="CreditMemo"/>
    <n v="104.53"/>
    <x v="3"/>
  </r>
  <r>
    <x v="1"/>
    <x v="25"/>
    <x v="59"/>
    <x v="0"/>
    <n v="44694"/>
    <n v="520531"/>
    <s v="Sum Cardcommision, creditcard companies"/>
    <s v="CreditMemo"/>
    <n v="135.29"/>
    <x v="3"/>
  </r>
  <r>
    <x v="1"/>
    <x v="25"/>
    <x v="59"/>
    <x v="0"/>
    <n v="44695"/>
    <n v="520532"/>
    <s v="Sum Cardcommision, creditcard companies"/>
    <s v="CreditMemo"/>
    <n v="92.5"/>
    <x v="3"/>
  </r>
  <r>
    <x v="1"/>
    <x v="25"/>
    <x v="59"/>
    <x v="0"/>
    <n v="44696"/>
    <n v="520533"/>
    <s v="Sum Cardcommision, creditcard companies"/>
    <s v="CreditMemo"/>
    <n v="159.44"/>
    <x v="3"/>
  </r>
  <r>
    <x v="1"/>
    <x v="25"/>
    <x v="59"/>
    <x v="0"/>
    <n v="44697"/>
    <n v="520534"/>
    <s v="Sum Cardcommision, creditcard companies"/>
    <s v="CreditMemo"/>
    <n v="173.31"/>
    <x v="3"/>
  </r>
  <r>
    <x v="1"/>
    <x v="25"/>
    <x v="59"/>
    <x v="0"/>
    <n v="44698"/>
    <n v="520535"/>
    <s v="Sum Cardcommision, creditcard companies"/>
    <s v="CreditMemo"/>
    <n v="132.57"/>
    <x v="3"/>
  </r>
  <r>
    <x v="1"/>
    <x v="25"/>
    <x v="59"/>
    <x v="0"/>
    <n v="44699"/>
    <n v="520537"/>
    <s v="Sum Cardcommision, creditcard companies"/>
    <s v="CreditMemo"/>
    <n v="81.290000000000006"/>
    <x v="3"/>
  </r>
  <r>
    <x v="1"/>
    <x v="25"/>
    <x v="59"/>
    <x v="0"/>
    <n v="44700"/>
    <n v="520538"/>
    <s v="Sum Cardcommision, creditcard companies"/>
    <s v="CreditMemo"/>
    <n v="73.34"/>
    <x v="3"/>
  </r>
  <r>
    <x v="1"/>
    <x v="25"/>
    <x v="59"/>
    <x v="0"/>
    <n v="44701"/>
    <n v="520539"/>
    <s v="Sum Cardcommision, creditcard companies"/>
    <s v="CreditMemo"/>
    <n v="114.34"/>
    <x v="3"/>
  </r>
  <r>
    <x v="1"/>
    <x v="25"/>
    <x v="59"/>
    <x v="0"/>
    <n v="44702"/>
    <n v="520540"/>
    <s v="Sum Cardcommision, creditcard companies"/>
    <s v="CreditMemo"/>
    <n v="112.77"/>
    <x v="3"/>
  </r>
  <r>
    <x v="1"/>
    <x v="25"/>
    <x v="59"/>
    <x v="0"/>
    <n v="44703"/>
    <n v="520541"/>
    <s v="Sum Cardcommision, creditcard companies"/>
    <s v="CreditMemo"/>
    <n v="151.80000000000001"/>
    <x v="3"/>
  </r>
  <r>
    <x v="1"/>
    <x v="25"/>
    <x v="59"/>
    <x v="0"/>
    <n v="44704"/>
    <n v="520544"/>
    <s v="Sum Cardcommision, creditcard companies"/>
    <s v="CreditMemo"/>
    <n v="108.58"/>
    <x v="3"/>
  </r>
  <r>
    <x v="1"/>
    <x v="25"/>
    <x v="59"/>
    <x v="0"/>
    <n v="44705"/>
    <n v="520546"/>
    <s v="Sum Cardcommision, creditcard companies"/>
    <s v="CreditMemo"/>
    <n v="79.430000000000007"/>
    <x v="3"/>
  </r>
  <r>
    <x v="1"/>
    <x v="25"/>
    <x v="59"/>
    <x v="0"/>
    <n v="44706"/>
    <n v="520547"/>
    <s v="Sum Cardcommision, creditcard companies"/>
    <s v="CreditMemo"/>
    <n v="120.01"/>
    <x v="3"/>
  </r>
  <r>
    <x v="1"/>
    <x v="25"/>
    <x v="59"/>
    <x v="0"/>
    <n v="44707"/>
    <n v="520548"/>
    <s v="Sum Cardcommision, creditcard companies"/>
    <s v="CreditMemo"/>
    <n v="136.41"/>
    <x v="3"/>
  </r>
  <r>
    <x v="1"/>
    <x v="25"/>
    <x v="59"/>
    <x v="0"/>
    <n v="44708"/>
    <n v="520549"/>
    <s v="Sum Cardcommision, creditcard companies"/>
    <s v="CreditMemo"/>
    <n v="112.76"/>
    <x v="3"/>
  </r>
  <r>
    <x v="1"/>
    <x v="25"/>
    <x v="59"/>
    <x v="0"/>
    <n v="44709"/>
    <n v="520550"/>
    <s v="Sum Cardcommision, creditcard companies"/>
    <s v="CreditMemo"/>
    <n v="82.41"/>
    <x v="3"/>
  </r>
  <r>
    <x v="1"/>
    <x v="25"/>
    <x v="59"/>
    <x v="0"/>
    <n v="44710"/>
    <n v="520551"/>
    <s v="Sum Cardcommision, creditcard companies"/>
    <s v="CreditMemo"/>
    <n v="111.93"/>
    <x v="3"/>
  </r>
  <r>
    <x v="1"/>
    <x v="25"/>
    <x v="59"/>
    <x v="0"/>
    <n v="44711"/>
    <n v="520552"/>
    <s v="Sum Cardcommision, creditcard companies"/>
    <s v="CreditMemo"/>
    <n v="140.69999999999999"/>
    <x v="3"/>
  </r>
  <r>
    <x v="1"/>
    <x v="25"/>
    <x v="59"/>
    <x v="0"/>
    <n v="44712"/>
    <n v="520554"/>
    <s v="Sum Cardcommision, creditcard companies"/>
    <s v="CreditMemo"/>
    <n v="118.83"/>
    <x v="3"/>
  </r>
  <r>
    <x v="1"/>
    <x v="25"/>
    <x v="59"/>
    <x v="2"/>
    <n v="44713"/>
    <n v="520557"/>
    <s v="Sum Cardcommision, creditcard companies"/>
    <s v="CreditMemo"/>
    <n v="161.03"/>
    <x v="3"/>
  </r>
  <r>
    <x v="1"/>
    <x v="25"/>
    <x v="59"/>
    <x v="2"/>
    <n v="44714"/>
    <n v="520558"/>
    <s v="Sum Cardcommision, creditcard companies"/>
    <s v="CreditMemo"/>
    <n v="116.4"/>
    <x v="3"/>
  </r>
  <r>
    <x v="1"/>
    <x v="25"/>
    <x v="59"/>
    <x v="2"/>
    <n v="44715"/>
    <n v="520559"/>
    <s v="Sum Cardcommision, creditcard companies"/>
    <s v="CreditMemo"/>
    <n v="163.22999999999999"/>
    <x v="3"/>
  </r>
  <r>
    <x v="1"/>
    <x v="25"/>
    <x v="59"/>
    <x v="2"/>
    <n v="44716"/>
    <n v="520560"/>
    <s v="Sum Cardcommision, creditcard companies"/>
    <s v="CreditMemo"/>
    <n v="161.62"/>
    <x v="3"/>
  </r>
  <r>
    <x v="1"/>
    <x v="25"/>
    <x v="59"/>
    <x v="2"/>
    <n v="44717"/>
    <n v="520561"/>
    <s v="Sum Cardcommision, creditcard companies"/>
    <s v="CreditMemo"/>
    <n v="150.96"/>
    <x v="3"/>
  </r>
  <r>
    <x v="1"/>
    <x v="25"/>
    <x v="59"/>
    <x v="2"/>
    <n v="44718"/>
    <n v="520562"/>
    <s v="Sum Cardcommision, creditcard companies"/>
    <s v="CreditMemo"/>
    <n v="304.61"/>
    <x v="3"/>
  </r>
  <r>
    <x v="1"/>
    <x v="25"/>
    <x v="59"/>
    <x v="2"/>
    <n v="44719"/>
    <n v="520564"/>
    <s v="Sum Cardcommision, creditcard companies"/>
    <s v="CreditMemo"/>
    <n v="137.36000000000001"/>
    <x v="3"/>
  </r>
  <r>
    <x v="1"/>
    <x v="25"/>
    <x v="59"/>
    <x v="2"/>
    <n v="44720"/>
    <n v="520565"/>
    <s v="Sum Cardcommision, creditcard companies"/>
    <s v="CreditMemo"/>
    <n v="109.46"/>
    <x v="3"/>
  </r>
  <r>
    <x v="1"/>
    <x v="25"/>
    <x v="59"/>
    <x v="2"/>
    <n v="44721"/>
    <n v="520566"/>
    <s v="Sum Cardcommision, creditcard companies"/>
    <s v="CreditMemo"/>
    <n v="112.4"/>
    <x v="3"/>
  </r>
  <r>
    <x v="1"/>
    <x v="25"/>
    <x v="59"/>
    <x v="2"/>
    <n v="44722"/>
    <n v="520567"/>
    <s v="Sum Cardcommision, creditcard companies"/>
    <s v="CreditMemo"/>
    <n v="102.95"/>
    <x v="3"/>
  </r>
  <r>
    <x v="1"/>
    <x v="25"/>
    <x v="59"/>
    <x v="2"/>
    <n v="44723"/>
    <n v="520568"/>
    <s v="Sum Cardcommision, creditcard companies"/>
    <s v="CreditMemo"/>
    <n v="102.96"/>
    <x v="3"/>
  </r>
  <r>
    <x v="1"/>
    <x v="25"/>
    <x v="59"/>
    <x v="2"/>
    <n v="44724"/>
    <n v="520569"/>
    <s v="Sum Cardcommision, creditcard companies"/>
    <s v="CreditMemo"/>
    <n v="210.99"/>
    <x v="3"/>
  </r>
  <r>
    <x v="1"/>
    <x v="25"/>
    <x v="59"/>
    <x v="2"/>
    <n v="44725"/>
    <n v="520570"/>
    <s v="Sum Cardcommision, creditcard companies"/>
    <s v="CreditMemo"/>
    <n v="127.97"/>
    <x v="3"/>
  </r>
  <r>
    <x v="1"/>
    <x v="25"/>
    <x v="59"/>
    <x v="2"/>
    <n v="44726"/>
    <n v="520572"/>
    <s v="Sum Cardcommision, creditcard companies"/>
    <s v="CreditMemo"/>
    <n v="110.46"/>
    <x v="3"/>
  </r>
  <r>
    <x v="1"/>
    <x v="25"/>
    <x v="59"/>
    <x v="2"/>
    <n v="44727"/>
    <n v="520573"/>
    <s v="Sum Cardcommision, creditcard companies"/>
    <s v="CreditMemo"/>
    <n v="167.54"/>
    <x v="3"/>
  </r>
  <r>
    <x v="1"/>
    <x v="25"/>
    <x v="59"/>
    <x v="2"/>
    <n v="44728"/>
    <n v="520574"/>
    <s v="Sum Cardcommision, creditcard companies"/>
    <s v="CreditMemo"/>
    <n v="153.32"/>
    <x v="3"/>
  </r>
  <r>
    <x v="1"/>
    <x v="25"/>
    <x v="59"/>
    <x v="2"/>
    <n v="44729"/>
    <n v="520576"/>
    <s v="Sum Cardcommision, creditcard companies"/>
    <s v="CreditMemo"/>
    <n v="108.42"/>
    <x v="3"/>
  </r>
  <r>
    <x v="1"/>
    <x v="25"/>
    <x v="59"/>
    <x v="2"/>
    <n v="44730"/>
    <n v="520577"/>
    <s v="Sum Cardcommision, creditcard companies"/>
    <s v="CreditMemo"/>
    <n v="86.13"/>
    <x v="3"/>
  </r>
  <r>
    <x v="1"/>
    <x v="25"/>
    <x v="59"/>
    <x v="2"/>
    <n v="44731"/>
    <n v="520578"/>
    <s v="Sum Cardcommision, creditcard companies"/>
    <s v="CreditMemo"/>
    <n v="115.64"/>
    <x v="3"/>
  </r>
  <r>
    <x v="1"/>
    <x v="25"/>
    <x v="59"/>
    <x v="2"/>
    <n v="44732"/>
    <n v="520579"/>
    <s v="Sum Cardcommision, creditcard companies"/>
    <s v="CreditMemo"/>
    <n v="174.13"/>
    <x v="3"/>
  </r>
  <r>
    <x v="1"/>
    <x v="25"/>
    <x v="59"/>
    <x v="2"/>
    <n v="44733"/>
    <n v="520580"/>
    <s v="Sum Cardcommision, creditcard companies"/>
    <s v="CreditMemo"/>
    <n v="120.5"/>
    <x v="3"/>
  </r>
  <r>
    <x v="1"/>
    <x v="25"/>
    <x v="59"/>
    <x v="2"/>
    <n v="44734"/>
    <n v="520581"/>
    <s v="Sum Cardcommision, creditcard companies"/>
    <s v="CreditMemo"/>
    <n v="123.44"/>
    <x v="3"/>
  </r>
  <r>
    <x v="1"/>
    <x v="25"/>
    <x v="59"/>
    <x v="2"/>
    <n v="44735"/>
    <n v="520583"/>
    <s v="Sum Cardcommision, creditcard companies"/>
    <s v="CreditMemo"/>
    <n v="134.32"/>
    <x v="3"/>
  </r>
  <r>
    <x v="1"/>
    <x v="25"/>
    <x v="59"/>
    <x v="2"/>
    <n v="44736"/>
    <n v="520584"/>
    <s v="Sum Cardcommision, creditcard companies"/>
    <s v="CreditMemo"/>
    <n v="272.54000000000002"/>
    <x v="3"/>
  </r>
  <r>
    <x v="1"/>
    <x v="25"/>
    <x v="59"/>
    <x v="2"/>
    <n v="44737"/>
    <n v="520585"/>
    <s v="Sum Cardcommision, creditcard companies"/>
    <s v="CreditMemo"/>
    <n v="120.41"/>
    <x v="3"/>
  </r>
  <r>
    <x v="1"/>
    <x v="25"/>
    <x v="59"/>
    <x v="2"/>
    <n v="44738"/>
    <n v="520586"/>
    <s v="Sum Cardcommision, creditcard companies"/>
    <s v="CreditMemo"/>
    <n v="139.24"/>
    <x v="3"/>
  </r>
  <r>
    <x v="1"/>
    <x v="25"/>
    <x v="59"/>
    <x v="2"/>
    <n v="44739"/>
    <n v="520588"/>
    <s v="Sum Cardcommision, creditcard companies"/>
    <s v="CreditMemo"/>
    <n v="175.31"/>
    <x v="3"/>
  </r>
  <r>
    <x v="1"/>
    <x v="25"/>
    <x v="59"/>
    <x v="2"/>
    <n v="44740"/>
    <n v="520590"/>
    <s v="Sum Cardcommision, creditcard companies"/>
    <s v="CreditMemo"/>
    <n v="134.62"/>
    <x v="3"/>
  </r>
  <r>
    <x v="1"/>
    <x v="25"/>
    <x v="59"/>
    <x v="2"/>
    <n v="44741"/>
    <n v="520591"/>
    <s v="Sum Cardcommision, creditcard companies"/>
    <s v="CreditMemo"/>
    <n v="252.49"/>
    <x v="3"/>
  </r>
  <r>
    <x v="1"/>
    <x v="25"/>
    <x v="59"/>
    <x v="2"/>
    <n v="44742"/>
    <n v="520593"/>
    <s v="Sum Cardcommision, creditcard companies"/>
    <s v="CreditMemo"/>
    <n v="209.12"/>
    <x v="3"/>
  </r>
  <r>
    <x v="1"/>
    <x v="25"/>
    <x v="59"/>
    <x v="5"/>
    <n v="44562"/>
    <n v="520363"/>
    <s v="Sum Cardcommision, creditcard companies"/>
    <s v="CreditMemo"/>
    <n v="71.790000000000006"/>
    <x v="3"/>
  </r>
  <r>
    <x v="1"/>
    <x v="25"/>
    <x v="59"/>
    <x v="5"/>
    <n v="44563"/>
    <n v="520364"/>
    <s v="Sum Cardcommision, creditcard companies"/>
    <s v="CreditMemo"/>
    <n v="104"/>
    <x v="3"/>
  </r>
  <r>
    <x v="1"/>
    <x v="25"/>
    <x v="59"/>
    <x v="5"/>
    <n v="44564"/>
    <n v="520365"/>
    <s v="Sum Cardcommision, creditcard companies"/>
    <s v="CreditMemo"/>
    <n v="47.15"/>
    <x v="3"/>
  </r>
  <r>
    <x v="1"/>
    <x v="25"/>
    <x v="59"/>
    <x v="5"/>
    <n v="44565"/>
    <n v="520366"/>
    <s v="Sum Cardcommision, creditcard companies"/>
    <s v="CreditMemo"/>
    <n v="38.81"/>
    <x v="3"/>
  </r>
  <r>
    <x v="1"/>
    <x v="25"/>
    <x v="59"/>
    <x v="5"/>
    <n v="44566"/>
    <n v="520368"/>
    <s v="Sum Cardcommision, creditcard companies"/>
    <s v="CreditMemo"/>
    <n v="74.41"/>
    <x v="3"/>
  </r>
  <r>
    <x v="1"/>
    <x v="25"/>
    <x v="59"/>
    <x v="5"/>
    <n v="44567"/>
    <n v="520370"/>
    <s v="Sum Cardcommision, creditcard companies"/>
    <s v="CreditMemo"/>
    <n v="69.62"/>
    <x v="3"/>
  </r>
  <r>
    <x v="1"/>
    <x v="25"/>
    <x v="59"/>
    <x v="5"/>
    <n v="44568"/>
    <n v="520371"/>
    <s v="Sum Cardcommision, creditcard companies"/>
    <s v="CreditMemo"/>
    <n v="69.010000000000005"/>
    <x v="3"/>
  </r>
  <r>
    <x v="1"/>
    <x v="25"/>
    <x v="59"/>
    <x v="5"/>
    <n v="44569"/>
    <n v="520372"/>
    <s v="Sum Cardcommision, creditcard companies"/>
    <s v="CreditMemo"/>
    <n v="58.18"/>
    <x v="3"/>
  </r>
  <r>
    <x v="1"/>
    <x v="25"/>
    <x v="59"/>
    <x v="5"/>
    <n v="44570"/>
    <n v="520373"/>
    <s v="Sum Cardcommision, creditcard companies"/>
    <s v="CreditMemo"/>
    <n v="77.64"/>
    <x v="3"/>
  </r>
  <r>
    <x v="1"/>
    <x v="25"/>
    <x v="59"/>
    <x v="5"/>
    <n v="44571"/>
    <n v="520374"/>
    <s v="Sum Cardcommision, creditcard companies"/>
    <s v="CreditMemo"/>
    <n v="82.81"/>
    <x v="3"/>
  </r>
  <r>
    <x v="1"/>
    <x v="25"/>
    <x v="59"/>
    <x v="5"/>
    <n v="44572"/>
    <n v="520376"/>
    <s v="Sum Cardcommision, creditcard companies"/>
    <s v="CreditMemo"/>
    <n v="81.09"/>
    <x v="3"/>
  </r>
  <r>
    <x v="1"/>
    <x v="25"/>
    <x v="59"/>
    <x v="5"/>
    <n v="44573"/>
    <n v="520377"/>
    <s v="Sum Cardcommision, creditcard companies"/>
    <s v="CreditMemo"/>
    <n v="62.52"/>
    <x v="3"/>
  </r>
  <r>
    <x v="1"/>
    <x v="25"/>
    <x v="59"/>
    <x v="5"/>
    <n v="44574"/>
    <n v="520378"/>
    <s v="Sum Cardcommision, creditcard companies"/>
    <s v="CreditMemo"/>
    <n v="71.599999999999994"/>
    <x v="3"/>
  </r>
  <r>
    <x v="1"/>
    <x v="25"/>
    <x v="59"/>
    <x v="5"/>
    <n v="44575"/>
    <n v="520380"/>
    <s v="Sum Cardcommision, creditcard companies"/>
    <s v="CreditMemo"/>
    <n v="71.42"/>
    <x v="3"/>
  </r>
  <r>
    <x v="1"/>
    <x v="25"/>
    <x v="59"/>
    <x v="5"/>
    <n v="44576"/>
    <n v="520381"/>
    <s v="Sum Cardcommision, creditcard companies"/>
    <s v="CreditMemo"/>
    <n v="70.7"/>
    <x v="3"/>
  </r>
  <r>
    <x v="1"/>
    <x v="25"/>
    <x v="59"/>
    <x v="5"/>
    <n v="44577"/>
    <n v="520382"/>
    <s v="Sum Cardcommision, creditcard companies"/>
    <s v="CreditMemo"/>
    <n v="74.92"/>
    <x v="3"/>
  </r>
  <r>
    <x v="1"/>
    <x v="25"/>
    <x v="59"/>
    <x v="5"/>
    <n v="44578"/>
    <n v="520383"/>
    <s v="Sum Cardcommision, creditcard companies"/>
    <s v="CreditMemo"/>
    <n v="68.06"/>
    <x v="3"/>
  </r>
  <r>
    <x v="1"/>
    <x v="25"/>
    <x v="59"/>
    <x v="5"/>
    <n v="44579"/>
    <n v="520385"/>
    <s v="Sum Cardcommision, creditcard companies"/>
    <s v="CreditMemo"/>
    <n v="89.39"/>
    <x v="3"/>
  </r>
  <r>
    <x v="1"/>
    <x v="25"/>
    <x v="59"/>
    <x v="5"/>
    <n v="44580"/>
    <n v="520387"/>
    <s v="Sum Cardcommision, creditcard companies"/>
    <s v="CreditMemo"/>
    <n v="57.48"/>
    <x v="3"/>
  </r>
  <r>
    <x v="1"/>
    <x v="25"/>
    <x v="59"/>
    <x v="5"/>
    <n v="44581"/>
    <n v="520388"/>
    <s v="Sum Cardcommision, creditcard companies"/>
    <s v="CreditMemo"/>
    <n v="85"/>
    <x v="3"/>
  </r>
  <r>
    <x v="1"/>
    <x v="25"/>
    <x v="59"/>
    <x v="5"/>
    <n v="44582"/>
    <n v="520389"/>
    <s v="Sum Cardcommision, creditcard companies"/>
    <s v="CreditMemo"/>
    <n v="87.7"/>
    <x v="3"/>
  </r>
  <r>
    <x v="1"/>
    <x v="25"/>
    <x v="59"/>
    <x v="5"/>
    <n v="44583"/>
    <n v="520390"/>
    <s v="Sum Cardcommision, creditcard companies"/>
    <s v="CreditMemo"/>
    <n v="79.83"/>
    <x v="3"/>
  </r>
  <r>
    <x v="1"/>
    <x v="25"/>
    <x v="59"/>
    <x v="5"/>
    <n v="44584"/>
    <n v="520391"/>
    <s v="Sum Cardcommision, creditcard companies"/>
    <s v="CreditMemo"/>
    <n v="92.37"/>
    <x v="3"/>
  </r>
  <r>
    <x v="1"/>
    <x v="25"/>
    <x v="59"/>
    <x v="5"/>
    <n v="44585"/>
    <n v="520392"/>
    <s v="Sum Cardcommision, creditcard companies"/>
    <s v="CreditMemo"/>
    <n v="60.82"/>
    <x v="3"/>
  </r>
  <r>
    <x v="1"/>
    <x v="25"/>
    <x v="59"/>
    <x v="5"/>
    <n v="44586"/>
    <n v="520393"/>
    <s v="Sum Cardcommision, creditcard companies"/>
    <s v="CreditMemo"/>
    <n v="76.040000000000006"/>
    <x v="3"/>
  </r>
  <r>
    <x v="1"/>
    <x v="25"/>
    <x v="59"/>
    <x v="5"/>
    <n v="44587"/>
    <n v="520394"/>
    <s v="Sum Cardcommision, creditcard companies"/>
    <s v="CreditMemo"/>
    <n v="82.06"/>
    <x v="3"/>
  </r>
  <r>
    <x v="1"/>
    <x v="25"/>
    <x v="59"/>
    <x v="5"/>
    <n v="44588"/>
    <n v="520396"/>
    <s v="Sum Cardcommision, creditcard companies"/>
    <s v="CreditMemo"/>
    <n v="69.61"/>
    <x v="3"/>
  </r>
  <r>
    <x v="1"/>
    <x v="25"/>
    <x v="59"/>
    <x v="5"/>
    <n v="44589"/>
    <n v="520397"/>
    <s v="Sum Cardcommision, creditcard companies"/>
    <s v="CreditMemo"/>
    <n v="88.33"/>
    <x v="3"/>
  </r>
  <r>
    <x v="1"/>
    <x v="25"/>
    <x v="59"/>
    <x v="5"/>
    <n v="44590"/>
    <n v="520398"/>
    <s v="Sum Cardcommision, creditcard companies"/>
    <s v="CreditMemo"/>
    <n v="58.26"/>
    <x v="3"/>
  </r>
  <r>
    <x v="1"/>
    <x v="25"/>
    <x v="59"/>
    <x v="5"/>
    <n v="44591"/>
    <n v="520399"/>
    <s v="Sum Cardcommision, creditcard companies"/>
    <s v="CreditMemo"/>
    <n v="120.16"/>
    <x v="3"/>
  </r>
  <r>
    <x v="1"/>
    <x v="25"/>
    <x v="59"/>
    <x v="5"/>
    <n v="44592"/>
    <n v="520400"/>
    <s v="Sum Cardcommision, creditcard companies"/>
    <s v="CreditMemo"/>
    <n v="79.58"/>
    <x v="3"/>
  </r>
  <r>
    <x v="1"/>
    <x v="25"/>
    <x v="59"/>
    <x v="3"/>
    <n v="44593"/>
    <n v="520403"/>
    <s v="Sum Cardcommision, creditcard companies"/>
    <s v="CreditMemo"/>
    <n v="65.3"/>
    <x v="3"/>
  </r>
  <r>
    <x v="1"/>
    <x v="25"/>
    <x v="59"/>
    <x v="3"/>
    <n v="44594"/>
    <n v="520404"/>
    <s v="Sum Cardcommision, creditcard companies"/>
    <s v="CreditMemo"/>
    <n v="69.459999999999994"/>
    <x v="3"/>
  </r>
  <r>
    <x v="1"/>
    <x v="25"/>
    <x v="59"/>
    <x v="3"/>
    <n v="44595"/>
    <n v="520405"/>
    <s v="Sum Cardcommision, creditcard companies"/>
    <s v="CreditMemo"/>
    <n v="79.78"/>
    <x v="3"/>
  </r>
  <r>
    <x v="1"/>
    <x v="25"/>
    <x v="59"/>
    <x v="3"/>
    <n v="44596"/>
    <n v="520406"/>
    <s v="Sum Cardcommision, creditcard companies"/>
    <s v="CreditMemo"/>
    <n v="96.28"/>
    <x v="3"/>
  </r>
  <r>
    <x v="1"/>
    <x v="25"/>
    <x v="59"/>
    <x v="3"/>
    <n v="44597"/>
    <n v="520407"/>
    <s v="Sum Cardcommision, creditcard companies"/>
    <s v="CreditMemo"/>
    <n v="67.069999999999993"/>
    <x v="3"/>
  </r>
  <r>
    <x v="1"/>
    <x v="25"/>
    <x v="59"/>
    <x v="3"/>
    <n v="44598"/>
    <n v="520408"/>
    <s v="Sum Cardcommision, creditcard companies"/>
    <s v="CreditMemo"/>
    <n v="73.8"/>
    <x v="3"/>
  </r>
  <r>
    <x v="1"/>
    <x v="25"/>
    <x v="59"/>
    <x v="3"/>
    <n v="44599"/>
    <n v="520409"/>
    <s v="Sum Cardcommision, creditcard companies"/>
    <s v="CreditMemo"/>
    <n v="75.69"/>
    <x v="3"/>
  </r>
  <r>
    <x v="1"/>
    <x v="25"/>
    <x v="59"/>
    <x v="3"/>
    <n v="44600"/>
    <n v="520410"/>
    <s v="Sum Cardcommision, creditcard companies"/>
    <s v="CreditMemo"/>
    <n v="74.64"/>
    <x v="3"/>
  </r>
  <r>
    <x v="1"/>
    <x v="25"/>
    <x v="59"/>
    <x v="3"/>
    <n v="44601"/>
    <n v="520411"/>
    <s v="Sum Cardcommision, creditcard companies"/>
    <s v="CreditMemo"/>
    <n v="93.83"/>
    <x v="3"/>
  </r>
  <r>
    <x v="1"/>
    <x v="25"/>
    <x v="59"/>
    <x v="3"/>
    <n v="44602"/>
    <n v="520413"/>
    <s v="Sum Cardcommision, creditcard companies"/>
    <s v="CreditMemo"/>
    <n v="89.58"/>
    <x v="3"/>
  </r>
  <r>
    <x v="1"/>
    <x v="25"/>
    <x v="59"/>
    <x v="3"/>
    <n v="44603"/>
    <n v="520414"/>
    <s v="Sum Cardcommision, creditcard companies"/>
    <s v="CreditMemo"/>
    <n v="75.55"/>
    <x v="3"/>
  </r>
  <r>
    <x v="1"/>
    <x v="25"/>
    <x v="59"/>
    <x v="3"/>
    <n v="44604"/>
    <n v="520415"/>
    <s v="Sum Cardcommision, creditcard companies"/>
    <s v="CreditMemo"/>
    <n v="73.25"/>
    <x v="3"/>
  </r>
  <r>
    <x v="1"/>
    <x v="25"/>
    <x v="59"/>
    <x v="3"/>
    <n v="44605"/>
    <n v="520416"/>
    <s v="Sum Cardcommision, creditcard companies"/>
    <s v="CreditMemo"/>
    <n v="102.41"/>
    <x v="3"/>
  </r>
  <r>
    <x v="1"/>
    <x v="25"/>
    <x v="59"/>
    <x v="3"/>
    <n v="44606"/>
    <n v="520418"/>
    <s v="Sum Cardcommision, creditcard companies"/>
    <s v="CreditMemo"/>
    <n v="77.27"/>
    <x v="3"/>
  </r>
  <r>
    <x v="1"/>
    <x v="25"/>
    <x v="59"/>
    <x v="3"/>
    <n v="44607"/>
    <n v="520419"/>
    <s v="Sum Cardcommision, creditcard companies"/>
    <s v="CreditMemo"/>
    <n v="73.400000000000006"/>
    <x v="3"/>
  </r>
  <r>
    <x v="1"/>
    <x v="25"/>
    <x v="59"/>
    <x v="3"/>
    <n v="44608"/>
    <n v="520421"/>
    <s v="Sum Cardcommision, creditcard companies"/>
    <s v="CreditMemo"/>
    <n v="79.91"/>
    <x v="3"/>
  </r>
  <r>
    <x v="1"/>
    <x v="25"/>
    <x v="59"/>
    <x v="3"/>
    <n v="44609"/>
    <n v="520422"/>
    <s v="Sum Cardcommision, creditcard companies"/>
    <s v="CreditMemo"/>
    <n v="93.2"/>
    <x v="3"/>
  </r>
  <r>
    <x v="1"/>
    <x v="25"/>
    <x v="59"/>
    <x v="3"/>
    <n v="44610"/>
    <n v="520423"/>
    <s v="Sum Cardcommision, creditcard companies"/>
    <s v="CreditMemo"/>
    <n v="104.74"/>
    <x v="3"/>
  </r>
  <r>
    <x v="1"/>
    <x v="25"/>
    <x v="59"/>
    <x v="3"/>
    <n v="44611"/>
    <n v="520424"/>
    <s v="Sum Cardcommision, creditcard companies"/>
    <s v="CreditMemo"/>
    <n v="76.08"/>
    <x v="3"/>
  </r>
  <r>
    <x v="1"/>
    <x v="25"/>
    <x v="59"/>
    <x v="3"/>
    <n v="44612"/>
    <n v="520425"/>
    <s v="Sum Cardcommision, creditcard companies"/>
    <s v="CreditMemo"/>
    <n v="70.95"/>
    <x v="3"/>
  </r>
  <r>
    <x v="1"/>
    <x v="25"/>
    <x v="59"/>
    <x v="3"/>
    <n v="44613"/>
    <n v="520427"/>
    <s v="Sum Cardcommision, creditcard companies"/>
    <s v="CreditMemo"/>
    <n v="68.430000000000007"/>
    <x v="3"/>
  </r>
  <r>
    <x v="1"/>
    <x v="25"/>
    <x v="59"/>
    <x v="3"/>
    <n v="44614"/>
    <n v="520428"/>
    <s v="Sum Cardcommision, creditcard companies"/>
    <s v="CreditMemo"/>
    <n v="81.739999999999995"/>
    <x v="3"/>
  </r>
  <r>
    <x v="1"/>
    <x v="25"/>
    <x v="59"/>
    <x v="3"/>
    <n v="44615"/>
    <n v="520429"/>
    <s v="Sum Cardcommision, creditcard companies"/>
    <s v="CreditMemo"/>
    <n v="83.28"/>
    <x v="3"/>
  </r>
  <r>
    <x v="1"/>
    <x v="25"/>
    <x v="59"/>
    <x v="3"/>
    <n v="44616"/>
    <n v="520430"/>
    <s v="Sum Cardcommision, creditcard companies"/>
    <s v="CreditMemo"/>
    <n v="107.71"/>
    <x v="3"/>
  </r>
  <r>
    <x v="1"/>
    <x v="25"/>
    <x v="59"/>
    <x v="3"/>
    <n v="44617"/>
    <n v="520431"/>
    <s v="Sum Cardcommision, creditcard companies"/>
    <s v="CreditMemo"/>
    <n v="110.18"/>
    <x v="3"/>
  </r>
  <r>
    <x v="1"/>
    <x v="25"/>
    <x v="59"/>
    <x v="3"/>
    <n v="44618"/>
    <n v="520432"/>
    <s v="Sum Cardcommision, creditcard companies"/>
    <s v="CreditMemo"/>
    <n v="82.01"/>
    <x v="3"/>
  </r>
  <r>
    <x v="1"/>
    <x v="25"/>
    <x v="59"/>
    <x v="3"/>
    <n v="44619"/>
    <n v="520433"/>
    <s v="Sum Cardcommision, creditcard companies"/>
    <s v="CreditMemo"/>
    <n v="98.5"/>
    <x v="3"/>
  </r>
  <r>
    <x v="1"/>
    <x v="25"/>
    <x v="59"/>
    <x v="3"/>
    <n v="44620"/>
    <n v="520435"/>
    <s v="Sum Cardcommision, creditcard companies"/>
    <s v="CreditMemo"/>
    <n v="62.59"/>
    <x v="3"/>
  </r>
  <r>
    <x v="1"/>
    <x v="25"/>
    <x v="59"/>
    <x v="6"/>
    <n v="44896"/>
    <n v="520794"/>
    <s v="Sum Cardcommision, creditcard companies"/>
    <s v="CreditMemo"/>
    <n v="121.29"/>
    <x v="3"/>
  </r>
  <r>
    <x v="1"/>
    <x v="25"/>
    <x v="59"/>
    <x v="6"/>
    <n v="44897"/>
    <n v="520795"/>
    <s v="Sum Cardcommision, creditcard companies"/>
    <s v="CreditMemo"/>
    <n v="159"/>
    <x v="3"/>
  </r>
  <r>
    <x v="1"/>
    <x v="25"/>
    <x v="59"/>
    <x v="6"/>
    <n v="44898"/>
    <n v="520796"/>
    <s v="Sum Cardcommision, creditcard companies"/>
    <s v="CreditMemo"/>
    <n v="124.02"/>
    <x v="3"/>
  </r>
  <r>
    <x v="1"/>
    <x v="25"/>
    <x v="59"/>
    <x v="6"/>
    <n v="44899"/>
    <n v="520797"/>
    <s v="Sum Cardcommision, creditcard companies"/>
    <s v="CreditMemo"/>
    <n v="183.81"/>
    <x v="3"/>
  </r>
  <r>
    <x v="1"/>
    <x v="25"/>
    <x v="59"/>
    <x v="6"/>
    <n v="44900"/>
    <n v="520798"/>
    <s v="Sum Cardcommision, creditcard companies"/>
    <s v="CreditMemo"/>
    <n v="152.36000000000001"/>
    <x v="3"/>
  </r>
  <r>
    <x v="1"/>
    <x v="25"/>
    <x v="59"/>
    <x v="6"/>
    <n v="44901"/>
    <n v="520800"/>
    <s v="Sum Cardcommision, creditcard companies"/>
    <s v="CreditMemo"/>
    <n v="133.4"/>
    <x v="3"/>
  </r>
  <r>
    <x v="1"/>
    <x v="25"/>
    <x v="59"/>
    <x v="6"/>
    <n v="44902"/>
    <n v="520801"/>
    <s v="Sum Cardcommision, creditcard companies"/>
    <s v="CreditMemo"/>
    <n v="124.44"/>
    <x v="3"/>
  </r>
  <r>
    <x v="1"/>
    <x v="25"/>
    <x v="59"/>
    <x v="6"/>
    <n v="44903"/>
    <n v="520802"/>
    <s v="Sum Cardcommision, creditcard companies"/>
    <s v="CreditMemo"/>
    <n v="147.38"/>
    <x v="3"/>
  </r>
  <r>
    <x v="1"/>
    <x v="25"/>
    <x v="59"/>
    <x v="6"/>
    <n v="44904"/>
    <n v="520803"/>
    <s v="Sum Cardcommision, creditcard companies"/>
    <s v="CreditMemo"/>
    <n v="120.05"/>
    <x v="3"/>
  </r>
  <r>
    <x v="1"/>
    <x v="25"/>
    <x v="59"/>
    <x v="6"/>
    <n v="44905"/>
    <n v="520804"/>
    <s v="Sum Cardcommision, creditcard companies"/>
    <s v="CreditMemo"/>
    <n v="123.75"/>
    <x v="3"/>
  </r>
  <r>
    <x v="1"/>
    <x v="25"/>
    <x v="59"/>
    <x v="6"/>
    <n v="44906"/>
    <n v="520805"/>
    <s v="Sum Cardcommision, creditcard companies"/>
    <s v="CreditMemo"/>
    <n v="80.31"/>
    <x v="3"/>
  </r>
  <r>
    <x v="1"/>
    <x v="25"/>
    <x v="59"/>
    <x v="6"/>
    <n v="44907"/>
    <n v="520806"/>
    <s v="Sum Cardcommision, creditcard companies"/>
    <s v="CreditMemo"/>
    <n v="145.54"/>
    <x v="3"/>
  </r>
  <r>
    <x v="1"/>
    <x v="25"/>
    <x v="59"/>
    <x v="6"/>
    <n v="44908"/>
    <n v="520808"/>
    <s v="Sum Cardcommision, creditcard companies"/>
    <s v="CreditMemo"/>
    <n v="165.12"/>
    <x v="3"/>
  </r>
  <r>
    <x v="1"/>
    <x v="25"/>
    <x v="59"/>
    <x v="6"/>
    <n v="44909"/>
    <n v="520809"/>
    <s v="Sum Cardcommision, creditcard companies"/>
    <s v="CreditMemo"/>
    <n v="148.93"/>
    <x v="3"/>
  </r>
  <r>
    <x v="1"/>
    <x v="25"/>
    <x v="59"/>
    <x v="6"/>
    <n v="44910"/>
    <n v="520810"/>
    <s v="Sum Cardcommision, creditcard companies"/>
    <s v="CreditMemo"/>
    <n v="189.5"/>
    <x v="3"/>
  </r>
  <r>
    <x v="1"/>
    <x v="25"/>
    <x v="59"/>
    <x v="6"/>
    <n v="44911"/>
    <n v="520811"/>
    <s v="Sum Cardcommision, creditcard companies"/>
    <s v="CreditMemo"/>
    <n v="106.25"/>
    <x v="3"/>
  </r>
  <r>
    <x v="1"/>
    <x v="25"/>
    <x v="59"/>
    <x v="6"/>
    <n v="44912"/>
    <n v="520813"/>
    <s v="Sum Cardcommision, creditcard companies"/>
    <s v="CreditMemo"/>
    <n v="90.8"/>
    <x v="3"/>
  </r>
  <r>
    <x v="1"/>
    <x v="25"/>
    <x v="59"/>
    <x v="6"/>
    <n v="44913"/>
    <n v="520814"/>
    <s v="Sum Cardcommision, creditcard companies"/>
    <s v="CreditMemo"/>
    <n v="82.69"/>
    <x v="3"/>
  </r>
  <r>
    <x v="1"/>
    <x v="25"/>
    <x v="59"/>
    <x v="6"/>
    <n v="44914"/>
    <n v="520815"/>
    <s v="Sum Cardcommision, creditcard companies"/>
    <s v="CreditMemo"/>
    <n v="119.03"/>
    <x v="3"/>
  </r>
  <r>
    <x v="1"/>
    <x v="25"/>
    <x v="59"/>
    <x v="6"/>
    <n v="44915"/>
    <n v="520816"/>
    <s v="Sum Cardcommision, creditcard companies"/>
    <s v="CreditMemo"/>
    <n v="121.33"/>
    <x v="3"/>
  </r>
  <r>
    <x v="1"/>
    <x v="25"/>
    <x v="59"/>
    <x v="6"/>
    <n v="44916"/>
    <n v="520817"/>
    <s v="Sum Cardcommision, creditcard companies"/>
    <s v="CreditMemo"/>
    <n v="141.16"/>
    <x v="3"/>
  </r>
  <r>
    <x v="1"/>
    <x v="25"/>
    <x v="59"/>
    <x v="6"/>
    <n v="44917"/>
    <n v="520819"/>
    <s v="Sum Cardcommision, creditcard companies"/>
    <s v="CreditMemo"/>
    <n v="148.18"/>
    <x v="3"/>
  </r>
  <r>
    <x v="1"/>
    <x v="25"/>
    <x v="59"/>
    <x v="6"/>
    <n v="44918"/>
    <n v="520820"/>
    <s v="Sum Cardcommision, creditcard companies"/>
    <s v="CreditMemo"/>
    <n v="171.9"/>
    <x v="3"/>
  </r>
  <r>
    <x v="1"/>
    <x v="25"/>
    <x v="59"/>
    <x v="6"/>
    <n v="44919"/>
    <n v="520821"/>
    <s v="Sum Cardcommision, creditcard companies"/>
    <s v="CreditMemo"/>
    <n v="73.87"/>
    <x v="3"/>
  </r>
  <r>
    <x v="1"/>
    <x v="25"/>
    <x v="59"/>
    <x v="6"/>
    <n v="44920"/>
    <n v="520822"/>
    <s v="Sum Cardcommision, creditcard companies"/>
    <s v="CreditMemo"/>
    <n v="91.41"/>
    <x v="3"/>
  </r>
  <r>
    <x v="1"/>
    <x v="25"/>
    <x v="59"/>
    <x v="6"/>
    <n v="44921"/>
    <n v="520823"/>
    <s v="Sum Cardcommision, creditcard companies"/>
    <s v="CreditMemo"/>
    <n v="136.87"/>
    <x v="3"/>
  </r>
  <r>
    <x v="1"/>
    <x v="25"/>
    <x v="59"/>
    <x v="6"/>
    <n v="44922"/>
    <n v="520825"/>
    <s v="Sum Cardcommision, creditcard companies"/>
    <s v="CreditMemo"/>
    <n v="108.08"/>
    <x v="3"/>
  </r>
  <r>
    <x v="1"/>
    <x v="25"/>
    <x v="59"/>
    <x v="6"/>
    <n v="44923"/>
    <n v="520826"/>
    <s v="Sum Cardcommision, creditcard companies"/>
    <s v="CreditMemo"/>
    <n v="109.65"/>
    <x v="3"/>
  </r>
  <r>
    <x v="1"/>
    <x v="25"/>
    <x v="59"/>
    <x v="6"/>
    <n v="44924"/>
    <n v="520827"/>
    <s v="Sum Cardcommision, creditcard companies"/>
    <s v="CreditMemo"/>
    <n v="93.42"/>
    <x v="3"/>
  </r>
  <r>
    <x v="1"/>
    <x v="25"/>
    <x v="59"/>
    <x v="6"/>
    <n v="44925"/>
    <n v="520828"/>
    <s v="Sum Cardcommision, creditcard companies"/>
    <s v="CreditMemo"/>
    <n v="72.41"/>
    <x v="3"/>
  </r>
  <r>
    <x v="1"/>
    <x v="25"/>
    <x v="59"/>
    <x v="6"/>
    <n v="44926"/>
    <n v="520829"/>
    <s v="Sum Cardcommision, creditcard companies"/>
    <s v="CreditMemo"/>
    <n v="136.29"/>
    <x v="3"/>
  </r>
  <r>
    <x v="1"/>
    <x v="25"/>
    <x v="59"/>
    <x v="9"/>
    <n v="44866"/>
    <n v="520755"/>
    <s v="Sum Cardcommision, creditcard companies"/>
    <s v="CreditMemo"/>
    <n v="157.58000000000001"/>
    <x v="3"/>
  </r>
  <r>
    <x v="1"/>
    <x v="25"/>
    <x v="59"/>
    <x v="9"/>
    <n v="44867"/>
    <n v="520756"/>
    <s v="Sum Cardcommision, creditcard companies"/>
    <s v="CreditMemo"/>
    <n v="156.84"/>
    <x v="3"/>
  </r>
  <r>
    <x v="1"/>
    <x v="25"/>
    <x v="59"/>
    <x v="9"/>
    <n v="44868"/>
    <n v="520757"/>
    <s v="Sum Cardcommision, creditcard companies"/>
    <s v="CreditMemo"/>
    <n v="155.11000000000001"/>
    <x v="3"/>
  </r>
  <r>
    <x v="1"/>
    <x v="25"/>
    <x v="59"/>
    <x v="9"/>
    <n v="44869"/>
    <n v="520758"/>
    <s v="Sum Cardcommision, creditcard companies"/>
    <s v="CreditMemo"/>
    <n v="145.66999999999999"/>
    <x v="3"/>
  </r>
  <r>
    <x v="1"/>
    <x v="25"/>
    <x v="59"/>
    <x v="9"/>
    <n v="44870"/>
    <n v="520759"/>
    <s v="Sum Cardcommision, creditcard companies"/>
    <s v="CreditMemo"/>
    <n v="127.44"/>
    <x v="3"/>
  </r>
  <r>
    <x v="1"/>
    <x v="25"/>
    <x v="59"/>
    <x v="9"/>
    <n v="44871"/>
    <n v="520760"/>
    <s v="Sum Cardcommision, creditcard companies"/>
    <s v="CreditMemo"/>
    <n v="157.38"/>
    <x v="3"/>
  </r>
  <r>
    <x v="1"/>
    <x v="25"/>
    <x v="59"/>
    <x v="9"/>
    <n v="44872"/>
    <n v="520762"/>
    <s v="Sum Cardcommision, creditcard companies"/>
    <s v="CreditMemo"/>
    <n v="168.91"/>
    <x v="3"/>
  </r>
  <r>
    <x v="1"/>
    <x v="25"/>
    <x v="59"/>
    <x v="9"/>
    <n v="44873"/>
    <n v="520763"/>
    <s v="Sum Cardcommision, creditcard companies"/>
    <s v="CreditMemo"/>
    <n v="123.24"/>
    <x v="3"/>
  </r>
  <r>
    <x v="1"/>
    <x v="25"/>
    <x v="59"/>
    <x v="9"/>
    <n v="44874"/>
    <n v="520764"/>
    <s v="Sum Cardcommision, creditcard companies"/>
    <s v="CreditMemo"/>
    <n v="126.11"/>
    <x v="3"/>
  </r>
  <r>
    <x v="1"/>
    <x v="25"/>
    <x v="59"/>
    <x v="9"/>
    <n v="44875"/>
    <n v="520766"/>
    <s v="Sum Cardcommision, creditcard companies"/>
    <s v="CreditMemo"/>
    <n v="139"/>
    <x v="3"/>
  </r>
  <r>
    <x v="1"/>
    <x v="25"/>
    <x v="59"/>
    <x v="9"/>
    <n v="44876"/>
    <n v="520767"/>
    <s v="Sum Cardcommision, creditcard companies"/>
    <s v="CreditMemo"/>
    <n v="145.37"/>
    <x v="3"/>
  </r>
  <r>
    <x v="1"/>
    <x v="25"/>
    <x v="59"/>
    <x v="9"/>
    <n v="44877"/>
    <n v="520768"/>
    <s v="Sum Cardcommision, creditcard companies"/>
    <s v="CreditMemo"/>
    <n v="164.11"/>
    <x v="3"/>
  </r>
  <r>
    <x v="1"/>
    <x v="25"/>
    <x v="59"/>
    <x v="9"/>
    <n v="44878"/>
    <n v="520769"/>
    <s v="Sum Cardcommision, creditcard companies"/>
    <s v="CreditMemo"/>
    <n v="157.37"/>
    <x v="3"/>
  </r>
  <r>
    <x v="1"/>
    <x v="25"/>
    <x v="59"/>
    <x v="9"/>
    <n v="44879"/>
    <n v="520770"/>
    <s v="Sum Cardcommision, creditcard companies"/>
    <s v="CreditMemo"/>
    <n v="135.9"/>
    <x v="3"/>
  </r>
  <r>
    <x v="1"/>
    <x v="25"/>
    <x v="59"/>
    <x v="9"/>
    <n v="44880"/>
    <n v="520772"/>
    <s v="Sum Cardcommision, creditcard companies"/>
    <s v="CreditMemo"/>
    <n v="133.47"/>
    <x v="3"/>
  </r>
  <r>
    <x v="1"/>
    <x v="25"/>
    <x v="59"/>
    <x v="9"/>
    <n v="44881"/>
    <n v="520773"/>
    <s v="Sum Cardcommision, creditcard companies"/>
    <s v="CreditMemo"/>
    <n v="128.94"/>
    <x v="3"/>
  </r>
  <r>
    <x v="1"/>
    <x v="25"/>
    <x v="59"/>
    <x v="9"/>
    <n v="44882"/>
    <n v="520775"/>
    <s v="Sum Cardcommision, creditcard companies"/>
    <s v="CreditMemo"/>
    <n v="131.15"/>
    <x v="3"/>
  </r>
  <r>
    <x v="1"/>
    <x v="25"/>
    <x v="59"/>
    <x v="9"/>
    <n v="44883"/>
    <n v="520776"/>
    <s v="Sum Cardcommision, creditcard companies"/>
    <s v="CreditMemo"/>
    <n v="243.72"/>
    <x v="3"/>
  </r>
  <r>
    <x v="1"/>
    <x v="25"/>
    <x v="59"/>
    <x v="9"/>
    <n v="44884"/>
    <n v="520777"/>
    <s v="Sum Cardcommision, creditcard companies"/>
    <s v="CreditMemo"/>
    <n v="155.51"/>
    <x v="3"/>
  </r>
  <r>
    <x v="1"/>
    <x v="25"/>
    <x v="59"/>
    <x v="9"/>
    <n v="44885"/>
    <n v="520778"/>
    <s v="Sum Cardcommision, creditcard companies"/>
    <s v="CreditMemo"/>
    <n v="151.78"/>
    <x v="3"/>
  </r>
  <r>
    <x v="1"/>
    <x v="25"/>
    <x v="59"/>
    <x v="9"/>
    <n v="44886"/>
    <n v="520780"/>
    <s v="Sum Cardcommision, creditcard companies"/>
    <s v="CreditMemo"/>
    <n v="122.85"/>
    <x v="3"/>
  </r>
  <r>
    <x v="1"/>
    <x v="25"/>
    <x v="59"/>
    <x v="9"/>
    <n v="44887"/>
    <n v="520781"/>
    <s v="Sum Cardcommision, creditcard companies"/>
    <s v="CreditMemo"/>
    <n v="130.24"/>
    <x v="3"/>
  </r>
  <r>
    <x v="1"/>
    <x v="25"/>
    <x v="59"/>
    <x v="9"/>
    <n v="44888"/>
    <n v="520782"/>
    <s v="Sum Cardcommision, creditcard companies"/>
    <s v="CreditMemo"/>
    <n v="179.33"/>
    <x v="3"/>
  </r>
  <r>
    <x v="1"/>
    <x v="25"/>
    <x v="59"/>
    <x v="9"/>
    <n v="44889"/>
    <n v="520783"/>
    <s v="Sum Cardcommision, creditcard companies"/>
    <s v="CreditMemo"/>
    <n v="135.93"/>
    <x v="3"/>
  </r>
  <r>
    <x v="1"/>
    <x v="25"/>
    <x v="59"/>
    <x v="9"/>
    <n v="44890"/>
    <n v="520785"/>
    <s v="Sum Cardcommision, creditcard companies"/>
    <s v="CreditMemo"/>
    <n v="100.86"/>
    <x v="3"/>
  </r>
  <r>
    <x v="1"/>
    <x v="25"/>
    <x v="59"/>
    <x v="9"/>
    <n v="44891"/>
    <n v="520786"/>
    <s v="Sum Cardcommision, creditcard companies"/>
    <s v="CreditMemo"/>
    <n v="134.69"/>
    <x v="3"/>
  </r>
  <r>
    <x v="1"/>
    <x v="25"/>
    <x v="59"/>
    <x v="9"/>
    <n v="44892"/>
    <n v="520787"/>
    <s v="Sum Cardcommision, creditcard companies"/>
    <s v="CreditMemo"/>
    <n v="109.82"/>
    <x v="3"/>
  </r>
  <r>
    <x v="1"/>
    <x v="25"/>
    <x v="59"/>
    <x v="9"/>
    <n v="44893"/>
    <n v="520788"/>
    <s v="Sum Cardcommision, creditcard companies"/>
    <s v="CreditMemo"/>
    <n v="76.67"/>
    <x v="3"/>
  </r>
  <r>
    <x v="1"/>
    <x v="25"/>
    <x v="59"/>
    <x v="9"/>
    <n v="44894"/>
    <n v="520791"/>
    <s v="Sum Cardcommision, creditcard companies"/>
    <s v="CreditMemo"/>
    <n v="114.24"/>
    <x v="3"/>
  </r>
  <r>
    <x v="1"/>
    <x v="25"/>
    <x v="59"/>
    <x v="9"/>
    <n v="44895"/>
    <n v="520792"/>
    <s v="Sum Cardcommision, creditcard companies"/>
    <s v="CreditMemo"/>
    <n v="135.58000000000001"/>
    <x v="3"/>
  </r>
  <r>
    <x v="1"/>
    <x v="26"/>
    <x v="60"/>
    <x v="9"/>
    <n v="44887"/>
    <n v="2009749"/>
    <s v="Inngående faktura"/>
    <s v=" "/>
    <n v="150"/>
    <x v="3"/>
  </r>
  <r>
    <x v="1"/>
    <x v="26"/>
    <x v="60"/>
    <x v="10"/>
    <n v="44861"/>
    <n v="2009733"/>
    <s v="Inngående faktura"/>
    <s v=" "/>
    <n v="35"/>
    <x v="3"/>
  </r>
  <r>
    <x v="1"/>
    <x v="26"/>
    <x v="60"/>
    <x v="11"/>
    <n v="44634"/>
    <n v="2009514"/>
    <s v="Inngående faktura"/>
    <s v=" "/>
    <n v="390"/>
    <x v="3"/>
  </r>
  <r>
    <x v="1"/>
    <x v="26"/>
    <x v="60"/>
    <x v="11"/>
    <n v="44635"/>
    <n v="2009515"/>
    <s v="Inngående faktura"/>
    <s v=" "/>
    <n v="35"/>
    <x v="3"/>
  </r>
  <r>
    <x v="1"/>
    <x v="26"/>
    <x v="60"/>
    <x v="11"/>
    <n v="44650"/>
    <n v="2009523"/>
    <s v="Intrum AS"/>
    <s v="Intrum AS"/>
    <n v="100"/>
    <x v="3"/>
  </r>
  <r>
    <x v="1"/>
    <x v="26"/>
    <x v="60"/>
    <x v="11"/>
    <n v="44629"/>
    <n v="2009497"/>
    <s v="Faktura er etterspurt Ticket554674775 I.M 23.03.2022"/>
    <s v=" "/>
    <n v="35"/>
    <x v="3"/>
  </r>
  <r>
    <x v="1"/>
    <x v="26"/>
    <x v="60"/>
    <x v="4"/>
    <n v="44660"/>
    <n v="2009547"/>
    <s v="Inngående faktura"/>
    <s v="Revisorhuset AS"/>
    <n v="70"/>
    <x v="3"/>
  </r>
  <r>
    <x v="1"/>
    <x v="26"/>
    <x v="61"/>
    <x v="7"/>
    <n v="44816"/>
    <n v="2350"/>
    <s v="TGTG"/>
    <s v=" "/>
    <n v="1380"/>
    <x v="3"/>
  </r>
  <r>
    <x v="1"/>
    <x v="26"/>
    <x v="61"/>
    <x v="11"/>
    <n v="44651"/>
    <n v="2263"/>
    <s v="TGTG"/>
    <s v=" "/>
    <n v="960"/>
    <x v="3"/>
  </r>
  <r>
    <x v="1"/>
    <x v="26"/>
    <x v="61"/>
    <x v="4"/>
    <n v="44681"/>
    <n v="2282"/>
    <s v="TGTG"/>
    <s v=" "/>
    <n v="1029.5"/>
    <x v="3"/>
  </r>
  <r>
    <x v="1"/>
    <x v="26"/>
    <x v="61"/>
    <x v="1"/>
    <n v="44773"/>
    <n v="2327"/>
    <s v="TGTG"/>
    <s v=" "/>
    <n v="1426"/>
    <x v="3"/>
  </r>
  <r>
    <x v="1"/>
    <x v="26"/>
    <x v="61"/>
    <x v="1"/>
    <n v="44773"/>
    <n v="2327"/>
    <s v="TGTG"/>
    <s v=" "/>
    <n v="-1426"/>
    <x v="3"/>
  </r>
  <r>
    <x v="1"/>
    <x v="26"/>
    <x v="61"/>
    <x v="2"/>
    <n v="44742"/>
    <n v="2308"/>
    <s v="TGTG"/>
    <s v=" "/>
    <n v="1161.5"/>
    <x v="3"/>
  </r>
  <r>
    <x v="1"/>
    <x v="27"/>
    <x v="62"/>
    <x v="5"/>
    <n v="44592"/>
    <n v="600024"/>
    <s v="Avskrivning driftsmiddel"/>
    <s v=" "/>
    <n v="836.14"/>
    <x v="3"/>
  </r>
  <r>
    <x v="1"/>
    <x v="27"/>
    <x v="62"/>
    <x v="3"/>
    <n v="44620"/>
    <n v="600025"/>
    <s v="Avskrivning driftsmiddel"/>
    <s v=" "/>
    <n v="836.13"/>
    <x v="3"/>
  </r>
  <r>
    <x v="1"/>
    <x v="27"/>
    <x v="62"/>
    <x v="11"/>
    <n v="44651"/>
    <n v="600025"/>
    <s v="Avskrivning driftsmiddel"/>
    <s v=" "/>
    <n v="836.13"/>
    <x v="3"/>
  </r>
  <r>
    <x v="1"/>
    <x v="27"/>
    <x v="62"/>
    <x v="4"/>
    <n v="44681"/>
    <n v="600025"/>
    <s v="Avskrivning driftsmiddel"/>
    <s v=" "/>
    <n v="836.13"/>
    <x v="3"/>
  </r>
  <r>
    <x v="1"/>
    <x v="27"/>
    <x v="62"/>
    <x v="0"/>
    <n v="44712"/>
    <n v="600025"/>
    <s v="Avskrivning driftsmiddel"/>
    <s v=" "/>
    <n v="836.13"/>
    <x v="3"/>
  </r>
  <r>
    <x v="1"/>
    <x v="27"/>
    <x v="62"/>
    <x v="2"/>
    <n v="44742"/>
    <n v="600025"/>
    <s v="Avskrivning driftsmiddel"/>
    <s v=" "/>
    <n v="836.13"/>
    <x v="3"/>
  </r>
  <r>
    <x v="1"/>
    <x v="27"/>
    <x v="62"/>
    <x v="1"/>
    <n v="44773"/>
    <n v="600025"/>
    <s v="Avskrivning driftsmiddel"/>
    <s v=" "/>
    <n v="836.13"/>
    <x v="3"/>
  </r>
  <r>
    <x v="1"/>
    <x v="27"/>
    <x v="62"/>
    <x v="8"/>
    <n v="44804"/>
    <n v="600025"/>
    <s v="Avskrivning driftsmiddel"/>
    <s v=" "/>
    <n v="836.13"/>
    <x v="3"/>
  </r>
  <r>
    <x v="1"/>
    <x v="27"/>
    <x v="62"/>
    <x v="7"/>
    <n v="44834"/>
    <n v="600025"/>
    <s v="Avskrivning driftsmiddel"/>
    <s v=" "/>
    <n v="836.13"/>
    <x v="3"/>
  </r>
  <r>
    <x v="1"/>
    <x v="27"/>
    <x v="62"/>
    <x v="10"/>
    <n v="44865"/>
    <n v="600025"/>
    <s v="Avskrivning driftsmiddel"/>
    <s v=" "/>
    <n v="836.13"/>
    <x v="3"/>
  </r>
  <r>
    <x v="1"/>
    <x v="27"/>
    <x v="62"/>
    <x v="9"/>
    <n v="44895"/>
    <n v="600025"/>
    <s v="Avskrivning driftsmiddel"/>
    <s v=" "/>
    <n v="836.13"/>
    <x v="3"/>
  </r>
  <r>
    <x v="1"/>
    <x v="27"/>
    <x v="62"/>
    <x v="6"/>
    <n v="44926"/>
    <n v="600025"/>
    <s v="Avskrivning driftsmiddel"/>
    <s v=" "/>
    <n v="836.13"/>
    <x v="3"/>
  </r>
  <r>
    <x v="1"/>
    <x v="27"/>
    <x v="63"/>
    <x v="1"/>
    <n v="44773"/>
    <n v="600028"/>
    <s v="Avskrivning driftsmiddel"/>
    <s v=" "/>
    <n v="2753.47"/>
    <x v="3"/>
  </r>
  <r>
    <x v="1"/>
    <x v="27"/>
    <x v="63"/>
    <x v="8"/>
    <n v="44804"/>
    <n v="600028"/>
    <s v="Avskrivning driftsmiddel"/>
    <s v=" "/>
    <n v="2753.47"/>
    <x v="3"/>
  </r>
  <r>
    <x v="1"/>
    <x v="27"/>
    <x v="63"/>
    <x v="7"/>
    <n v="44834"/>
    <n v="600028"/>
    <s v="Avskrivning driftsmiddel"/>
    <s v=" "/>
    <n v="2753.47"/>
    <x v="3"/>
  </r>
  <r>
    <x v="1"/>
    <x v="27"/>
    <x v="63"/>
    <x v="10"/>
    <n v="44865"/>
    <n v="600028"/>
    <s v="Avskrivning driftsmiddel"/>
    <s v=" "/>
    <n v="2753.47"/>
    <x v="3"/>
  </r>
  <r>
    <x v="1"/>
    <x v="27"/>
    <x v="63"/>
    <x v="9"/>
    <n v="44895"/>
    <n v="600028"/>
    <s v="Avskrivning driftsmiddel"/>
    <s v=" "/>
    <n v="2753.47"/>
    <x v="3"/>
  </r>
  <r>
    <x v="1"/>
    <x v="27"/>
    <x v="63"/>
    <x v="6"/>
    <n v="44926"/>
    <n v="600028"/>
    <s v="Avskrivning driftsmiddel"/>
    <s v=" "/>
    <n v="2753.47"/>
    <x v="3"/>
  </r>
  <r>
    <x v="1"/>
    <x v="27"/>
    <x v="63"/>
    <x v="3"/>
    <n v="44620"/>
    <n v="600025"/>
    <s v="Avskrivning driftsmiddel"/>
    <s v=" "/>
    <n v="461.68"/>
    <x v="3"/>
  </r>
  <r>
    <x v="1"/>
    <x v="27"/>
    <x v="63"/>
    <x v="11"/>
    <n v="44651"/>
    <n v="600025"/>
    <s v="Avskrivning driftsmiddel"/>
    <s v=" "/>
    <n v="461.68"/>
    <x v="3"/>
  </r>
  <r>
    <x v="1"/>
    <x v="27"/>
    <x v="63"/>
    <x v="4"/>
    <n v="44681"/>
    <n v="600025"/>
    <s v="Avskrivning driftsmiddel"/>
    <s v=" "/>
    <n v="461.68"/>
    <x v="3"/>
  </r>
  <r>
    <x v="1"/>
    <x v="27"/>
    <x v="63"/>
    <x v="0"/>
    <n v="44712"/>
    <n v="600025"/>
    <s v="Avskrivning driftsmiddel"/>
    <s v=" "/>
    <n v="461.68"/>
    <x v="3"/>
  </r>
  <r>
    <x v="1"/>
    <x v="27"/>
    <x v="63"/>
    <x v="2"/>
    <n v="44742"/>
    <n v="600025"/>
    <s v="Avskrivning driftsmiddel"/>
    <s v=" "/>
    <n v="461.68"/>
    <x v="3"/>
  </r>
  <r>
    <x v="1"/>
    <x v="27"/>
    <x v="63"/>
    <x v="1"/>
    <n v="44773"/>
    <n v="600025"/>
    <s v="Avskrivning driftsmiddel"/>
    <s v=" "/>
    <n v="461.68"/>
    <x v="3"/>
  </r>
  <r>
    <x v="1"/>
    <x v="27"/>
    <x v="63"/>
    <x v="8"/>
    <n v="44804"/>
    <n v="600025"/>
    <s v="Avskrivning driftsmiddel"/>
    <s v=" "/>
    <n v="461.68"/>
    <x v="3"/>
  </r>
  <r>
    <x v="1"/>
    <x v="27"/>
    <x v="63"/>
    <x v="7"/>
    <n v="44834"/>
    <n v="600025"/>
    <s v="Avskrivning driftsmiddel"/>
    <s v=" "/>
    <n v="461.68"/>
    <x v="3"/>
  </r>
  <r>
    <x v="1"/>
    <x v="27"/>
    <x v="63"/>
    <x v="10"/>
    <n v="44865"/>
    <n v="600025"/>
    <s v="Avskrivning driftsmiddel"/>
    <s v=" "/>
    <n v="461.68"/>
    <x v="3"/>
  </r>
  <r>
    <x v="1"/>
    <x v="27"/>
    <x v="63"/>
    <x v="9"/>
    <n v="44895"/>
    <n v="600025"/>
    <s v="Avskrivning driftsmiddel"/>
    <s v=" "/>
    <n v="461.68"/>
    <x v="3"/>
  </r>
  <r>
    <x v="1"/>
    <x v="27"/>
    <x v="63"/>
    <x v="6"/>
    <n v="44926"/>
    <n v="600025"/>
    <s v="Avskrivning driftsmiddel"/>
    <s v=" "/>
    <n v="461.68"/>
    <x v="3"/>
  </r>
  <r>
    <x v="1"/>
    <x v="27"/>
    <x v="63"/>
    <x v="3"/>
    <n v="44620"/>
    <n v="600025"/>
    <s v="Avskrivning driftsmiddel"/>
    <s v=" "/>
    <n v="859.76"/>
    <x v="3"/>
  </r>
  <r>
    <x v="1"/>
    <x v="27"/>
    <x v="63"/>
    <x v="11"/>
    <n v="44651"/>
    <n v="600025"/>
    <s v="Avskrivning driftsmiddel"/>
    <s v=" "/>
    <n v="859.76"/>
    <x v="3"/>
  </r>
  <r>
    <x v="1"/>
    <x v="27"/>
    <x v="63"/>
    <x v="4"/>
    <n v="44681"/>
    <n v="600025"/>
    <s v="Avskrivning driftsmiddel"/>
    <s v=" "/>
    <n v="859.76"/>
    <x v="3"/>
  </r>
  <r>
    <x v="1"/>
    <x v="27"/>
    <x v="63"/>
    <x v="0"/>
    <n v="44712"/>
    <n v="600025"/>
    <s v="Avskrivning driftsmiddel"/>
    <s v=" "/>
    <n v="859.76"/>
    <x v="3"/>
  </r>
  <r>
    <x v="1"/>
    <x v="27"/>
    <x v="63"/>
    <x v="2"/>
    <n v="44742"/>
    <n v="600025"/>
    <s v="Avskrivning driftsmiddel"/>
    <s v=" "/>
    <n v="859.76"/>
    <x v="3"/>
  </r>
  <r>
    <x v="1"/>
    <x v="27"/>
    <x v="63"/>
    <x v="1"/>
    <n v="44773"/>
    <n v="600025"/>
    <s v="Avskrivning driftsmiddel"/>
    <s v=" "/>
    <n v="859.76"/>
    <x v="3"/>
  </r>
  <r>
    <x v="1"/>
    <x v="27"/>
    <x v="63"/>
    <x v="8"/>
    <n v="44804"/>
    <n v="600025"/>
    <s v="Avskrivning driftsmiddel"/>
    <s v=" "/>
    <n v="859.76"/>
    <x v="3"/>
  </r>
  <r>
    <x v="1"/>
    <x v="27"/>
    <x v="63"/>
    <x v="7"/>
    <n v="44834"/>
    <n v="600025"/>
    <s v="Avskrivning driftsmiddel"/>
    <s v=" "/>
    <n v="859.76"/>
    <x v="3"/>
  </r>
  <r>
    <x v="1"/>
    <x v="27"/>
    <x v="63"/>
    <x v="10"/>
    <n v="44865"/>
    <n v="600025"/>
    <s v="Avskrivning driftsmiddel"/>
    <s v=" "/>
    <n v="859.76"/>
    <x v="3"/>
  </r>
  <r>
    <x v="1"/>
    <x v="27"/>
    <x v="63"/>
    <x v="9"/>
    <n v="44895"/>
    <n v="600025"/>
    <s v="Avskrivning driftsmiddel"/>
    <s v=" "/>
    <n v="859.76"/>
    <x v="3"/>
  </r>
  <r>
    <x v="1"/>
    <x v="27"/>
    <x v="63"/>
    <x v="6"/>
    <n v="44926"/>
    <n v="600025"/>
    <s v="Avskrivning driftsmiddel"/>
    <s v=" "/>
    <n v="859.76"/>
    <x v="3"/>
  </r>
  <r>
    <x v="1"/>
    <x v="27"/>
    <x v="63"/>
    <x v="5"/>
    <n v="44592"/>
    <n v="600026"/>
    <s v="Avskrivning driftsmiddel"/>
    <s v=" "/>
    <n v="1813.27"/>
    <x v="3"/>
  </r>
  <r>
    <x v="1"/>
    <x v="27"/>
    <x v="63"/>
    <x v="3"/>
    <n v="44620"/>
    <n v="600026"/>
    <s v="Avskrivning driftsmiddel"/>
    <s v=" "/>
    <n v="1813.27"/>
    <x v="3"/>
  </r>
  <r>
    <x v="1"/>
    <x v="27"/>
    <x v="63"/>
    <x v="11"/>
    <n v="44651"/>
    <n v="600026"/>
    <s v="Avskrivning driftsmiddel"/>
    <s v=" "/>
    <n v="1813.27"/>
    <x v="3"/>
  </r>
  <r>
    <x v="1"/>
    <x v="27"/>
    <x v="63"/>
    <x v="4"/>
    <n v="44681"/>
    <n v="600026"/>
    <s v="Avskrivning driftsmiddel"/>
    <s v=" "/>
    <n v="1813.27"/>
    <x v="3"/>
  </r>
  <r>
    <x v="1"/>
    <x v="27"/>
    <x v="63"/>
    <x v="0"/>
    <n v="44712"/>
    <n v="600026"/>
    <s v="Avskrivning driftsmiddel"/>
    <s v=" "/>
    <n v="1813.27"/>
    <x v="3"/>
  </r>
  <r>
    <x v="1"/>
    <x v="27"/>
    <x v="63"/>
    <x v="2"/>
    <n v="44742"/>
    <n v="600026"/>
    <s v="Avskrivning driftsmiddel"/>
    <s v=" "/>
    <n v="1813.27"/>
    <x v="3"/>
  </r>
  <r>
    <x v="1"/>
    <x v="27"/>
    <x v="63"/>
    <x v="1"/>
    <n v="44773"/>
    <n v="600026"/>
    <s v="Avskrivning driftsmiddel"/>
    <s v=" "/>
    <n v="1813.27"/>
    <x v="3"/>
  </r>
  <r>
    <x v="1"/>
    <x v="27"/>
    <x v="63"/>
    <x v="8"/>
    <n v="44804"/>
    <n v="600026"/>
    <s v="Avskrivning driftsmiddel"/>
    <s v=" "/>
    <n v="1813.27"/>
    <x v="3"/>
  </r>
  <r>
    <x v="1"/>
    <x v="27"/>
    <x v="63"/>
    <x v="7"/>
    <n v="44834"/>
    <n v="600026"/>
    <s v="Avskrivning driftsmiddel"/>
    <s v=" "/>
    <n v="1813.27"/>
    <x v="3"/>
  </r>
  <r>
    <x v="1"/>
    <x v="27"/>
    <x v="63"/>
    <x v="10"/>
    <n v="44865"/>
    <n v="600026"/>
    <s v="Avskrivning driftsmiddel"/>
    <s v=" "/>
    <n v="1813.27"/>
    <x v="3"/>
  </r>
  <r>
    <x v="1"/>
    <x v="27"/>
    <x v="63"/>
    <x v="9"/>
    <n v="44895"/>
    <n v="600026"/>
    <s v="Avskrivning driftsmiddel"/>
    <s v=" "/>
    <n v="1813.27"/>
    <x v="3"/>
  </r>
  <r>
    <x v="1"/>
    <x v="27"/>
    <x v="63"/>
    <x v="6"/>
    <n v="44926"/>
    <n v="600026"/>
    <s v="Avskrivning driftsmiddel"/>
    <s v=" "/>
    <n v="1813.27"/>
    <x v="3"/>
  </r>
  <r>
    <x v="1"/>
    <x v="27"/>
    <x v="63"/>
    <x v="5"/>
    <n v="44592"/>
    <n v="600026"/>
    <s v="Avskrivning driftsmiddel"/>
    <s v=" "/>
    <n v="580.54999999999995"/>
    <x v="3"/>
  </r>
  <r>
    <x v="1"/>
    <x v="27"/>
    <x v="63"/>
    <x v="3"/>
    <n v="44620"/>
    <n v="600026"/>
    <s v="Avskrivning driftsmiddel"/>
    <s v=" "/>
    <n v="580.54999999999995"/>
    <x v="3"/>
  </r>
  <r>
    <x v="1"/>
    <x v="27"/>
    <x v="63"/>
    <x v="11"/>
    <n v="44651"/>
    <n v="600026"/>
    <s v="Avskrivning driftsmiddel"/>
    <s v=" "/>
    <n v="580.54999999999995"/>
    <x v="3"/>
  </r>
  <r>
    <x v="1"/>
    <x v="27"/>
    <x v="63"/>
    <x v="4"/>
    <n v="44681"/>
    <n v="600026"/>
    <s v="Avskrivning driftsmiddel"/>
    <s v=" "/>
    <n v="580.54999999999995"/>
    <x v="3"/>
  </r>
  <r>
    <x v="1"/>
    <x v="27"/>
    <x v="63"/>
    <x v="0"/>
    <n v="44712"/>
    <n v="600026"/>
    <s v="Avskrivning driftsmiddel"/>
    <s v=" "/>
    <n v="580.54999999999995"/>
    <x v="3"/>
  </r>
  <r>
    <x v="1"/>
    <x v="27"/>
    <x v="63"/>
    <x v="2"/>
    <n v="44742"/>
    <n v="600026"/>
    <s v="Avskrivning driftsmiddel"/>
    <s v=" "/>
    <n v="580.54999999999995"/>
    <x v="3"/>
  </r>
  <r>
    <x v="1"/>
    <x v="27"/>
    <x v="63"/>
    <x v="1"/>
    <n v="44773"/>
    <n v="600026"/>
    <s v="Avskrivning driftsmiddel"/>
    <s v=" "/>
    <n v="580.54999999999995"/>
    <x v="3"/>
  </r>
  <r>
    <x v="1"/>
    <x v="27"/>
    <x v="63"/>
    <x v="8"/>
    <n v="44804"/>
    <n v="600026"/>
    <s v="Avskrivning driftsmiddel"/>
    <s v=" "/>
    <n v="580.54999999999995"/>
    <x v="3"/>
  </r>
  <r>
    <x v="1"/>
    <x v="27"/>
    <x v="63"/>
    <x v="7"/>
    <n v="44834"/>
    <n v="600026"/>
    <s v="Avskrivning driftsmiddel"/>
    <s v=" "/>
    <n v="580.54999999999995"/>
    <x v="3"/>
  </r>
  <r>
    <x v="1"/>
    <x v="27"/>
    <x v="63"/>
    <x v="10"/>
    <n v="44865"/>
    <n v="600026"/>
    <s v="Avskrivning driftsmiddel"/>
    <s v=" "/>
    <n v="580.54999999999995"/>
    <x v="3"/>
  </r>
  <r>
    <x v="1"/>
    <x v="27"/>
    <x v="63"/>
    <x v="9"/>
    <n v="44895"/>
    <n v="600026"/>
    <s v="Avskrivning driftsmiddel"/>
    <s v=" "/>
    <n v="580.54999999999995"/>
    <x v="3"/>
  </r>
  <r>
    <x v="1"/>
    <x v="27"/>
    <x v="63"/>
    <x v="6"/>
    <n v="44926"/>
    <n v="600026"/>
    <s v="Avskrivning driftsmiddel"/>
    <s v=" "/>
    <n v="580.54999999999995"/>
    <x v="3"/>
  </r>
  <r>
    <x v="1"/>
    <x v="27"/>
    <x v="63"/>
    <x v="7"/>
    <n v="44834"/>
    <n v="600025"/>
    <s v="Avskrivning driftsmiddel"/>
    <s v=" "/>
    <n v="1167.8"/>
    <x v="3"/>
  </r>
  <r>
    <x v="1"/>
    <x v="27"/>
    <x v="63"/>
    <x v="10"/>
    <n v="44865"/>
    <n v="600025"/>
    <s v="Avskrivning driftsmiddel"/>
    <s v=" "/>
    <n v="1167.8"/>
    <x v="3"/>
  </r>
  <r>
    <x v="1"/>
    <x v="27"/>
    <x v="63"/>
    <x v="9"/>
    <n v="44895"/>
    <n v="600025"/>
    <s v="Avskrivning driftsmiddel"/>
    <s v=" "/>
    <n v="1167.8"/>
    <x v="3"/>
  </r>
  <r>
    <x v="1"/>
    <x v="27"/>
    <x v="63"/>
    <x v="6"/>
    <n v="44926"/>
    <n v="600025"/>
    <s v="Avskrivning driftsmiddel"/>
    <s v=" "/>
    <n v="1167.8"/>
    <x v="3"/>
  </r>
  <r>
    <x v="1"/>
    <x v="27"/>
    <x v="63"/>
    <x v="5"/>
    <n v="44592"/>
    <n v="600024"/>
    <s v="Avskrivning driftsmiddel"/>
    <s v=" "/>
    <n v="461.67"/>
    <x v="3"/>
  </r>
  <r>
    <x v="1"/>
    <x v="27"/>
    <x v="63"/>
    <x v="5"/>
    <n v="44592"/>
    <n v="600024"/>
    <s v="Avskrivning driftsmiddel"/>
    <s v=" "/>
    <n v="859.76"/>
    <x v="3"/>
  </r>
  <r>
    <x v="1"/>
    <x v="27"/>
    <x v="63"/>
    <x v="5"/>
    <n v="44592"/>
    <n v="600024"/>
    <s v="Avskrivning driftsmiddel"/>
    <s v=" "/>
    <n v="1167.79"/>
    <x v="3"/>
  </r>
  <r>
    <x v="1"/>
    <x v="27"/>
    <x v="63"/>
    <x v="3"/>
    <n v="44620"/>
    <n v="600025"/>
    <s v="Avskrivning driftsmiddel"/>
    <s v=" "/>
    <n v="1167.8"/>
    <x v="3"/>
  </r>
  <r>
    <x v="1"/>
    <x v="27"/>
    <x v="63"/>
    <x v="11"/>
    <n v="44651"/>
    <n v="600025"/>
    <s v="Avskrivning driftsmiddel"/>
    <s v=" "/>
    <n v="1167.8"/>
    <x v="3"/>
  </r>
  <r>
    <x v="1"/>
    <x v="27"/>
    <x v="63"/>
    <x v="4"/>
    <n v="44681"/>
    <n v="600025"/>
    <s v="Avskrivning driftsmiddel"/>
    <s v=" "/>
    <n v="1167.8"/>
    <x v="3"/>
  </r>
  <r>
    <x v="1"/>
    <x v="27"/>
    <x v="63"/>
    <x v="0"/>
    <n v="44712"/>
    <n v="600025"/>
    <s v="Avskrivning driftsmiddel"/>
    <s v=" "/>
    <n v="1167.8"/>
    <x v="3"/>
  </r>
  <r>
    <x v="1"/>
    <x v="27"/>
    <x v="63"/>
    <x v="2"/>
    <n v="44742"/>
    <n v="600025"/>
    <s v="Avskrivning driftsmiddel"/>
    <s v=" "/>
    <n v="1167.8"/>
    <x v="3"/>
  </r>
  <r>
    <x v="1"/>
    <x v="27"/>
    <x v="63"/>
    <x v="1"/>
    <n v="44773"/>
    <n v="600025"/>
    <s v="Avskrivning driftsmiddel"/>
    <s v=" "/>
    <n v="1167.8"/>
    <x v="3"/>
  </r>
  <r>
    <x v="1"/>
    <x v="27"/>
    <x v="63"/>
    <x v="8"/>
    <n v="44804"/>
    <n v="600025"/>
    <s v="Avskrivning driftsmiddel"/>
    <s v=" "/>
    <n v="1167.8"/>
    <x v="3"/>
  </r>
  <r>
    <x v="1"/>
    <x v="27"/>
    <x v="63"/>
    <x v="4"/>
    <n v="44681"/>
    <n v="600027"/>
    <s v="Avskrivning driftsmiddel"/>
    <s v=" "/>
    <n v="11550.42"/>
    <x v="3"/>
  </r>
  <r>
    <x v="1"/>
    <x v="27"/>
    <x v="63"/>
    <x v="0"/>
    <n v="44712"/>
    <n v="600027"/>
    <s v="Avskrivning driftsmiddel"/>
    <s v=" "/>
    <n v="11550.42"/>
    <x v="3"/>
  </r>
  <r>
    <x v="1"/>
    <x v="27"/>
    <x v="63"/>
    <x v="2"/>
    <n v="44742"/>
    <n v="600027"/>
    <s v="Avskrivning driftsmiddel"/>
    <s v=" "/>
    <n v="11550.42"/>
    <x v="3"/>
  </r>
  <r>
    <x v="1"/>
    <x v="27"/>
    <x v="63"/>
    <x v="1"/>
    <n v="44773"/>
    <n v="600027"/>
    <s v="Avskrivning driftsmiddel"/>
    <s v=" "/>
    <n v="11550.42"/>
    <x v="3"/>
  </r>
  <r>
    <x v="1"/>
    <x v="27"/>
    <x v="63"/>
    <x v="8"/>
    <n v="44804"/>
    <n v="600027"/>
    <s v="Avskrivning driftsmiddel"/>
    <s v=" "/>
    <n v="11550.42"/>
    <x v="3"/>
  </r>
  <r>
    <x v="1"/>
    <x v="27"/>
    <x v="63"/>
    <x v="7"/>
    <n v="44834"/>
    <n v="600027"/>
    <s v="Avskrivning driftsmiddel"/>
    <s v=" "/>
    <n v="11550.42"/>
    <x v="3"/>
  </r>
  <r>
    <x v="1"/>
    <x v="27"/>
    <x v="63"/>
    <x v="10"/>
    <n v="44865"/>
    <n v="600027"/>
    <s v="Avskrivning driftsmiddel"/>
    <s v=" "/>
    <n v="11550.42"/>
    <x v="3"/>
  </r>
  <r>
    <x v="1"/>
    <x v="27"/>
    <x v="63"/>
    <x v="9"/>
    <n v="44895"/>
    <n v="600027"/>
    <s v="Avskrivning driftsmiddel"/>
    <s v=" "/>
    <n v="11550.42"/>
    <x v="3"/>
  </r>
  <r>
    <x v="1"/>
    <x v="27"/>
    <x v="63"/>
    <x v="6"/>
    <n v="44926"/>
    <n v="600027"/>
    <s v="Avskrivning driftsmiddel"/>
    <s v=" "/>
    <n v="11550.42"/>
    <x v="3"/>
  </r>
  <r>
    <x v="1"/>
    <x v="28"/>
    <x v="64"/>
    <x v="7"/>
    <n v="44832"/>
    <n v="2009705"/>
    <s v="Skatteoppgjør 2021: Rentegodtgjørelse"/>
    <s v=" "/>
    <n v="-142"/>
    <x v="3"/>
  </r>
  <r>
    <x v="1"/>
    <x v="28"/>
    <x v="65"/>
    <x v="6"/>
    <n v="44924"/>
    <n v="2379"/>
    <s v="17017516340 / INNSKUDD KOPERVIK BENSIN AVALDSNESVE94 (ACMT/MCOP/OTHR)"/>
    <s v=" "/>
    <n v="-1574"/>
    <x v="3"/>
  </r>
  <r>
    <x v="1"/>
    <x v="28"/>
    <x v="65"/>
    <x v="6"/>
    <n v="44926"/>
    <n v="2379"/>
    <s v="00090010000 / KREDITRTE KREDITRENTER (ACMT/MCOP/INTR)"/>
    <s v=" "/>
    <n v="-1393"/>
    <x v="3"/>
  </r>
  <r>
    <x v="1"/>
    <x v="28"/>
    <x v="65"/>
    <x v="11"/>
    <n v="44651"/>
    <n v="2264"/>
    <s v="00090010000 / KREDITRTE KREDITRENTER (ACMT/MCOP/INTR)"/>
    <s v=" "/>
    <n v="-2202"/>
    <x v="3"/>
  </r>
  <r>
    <x v="1"/>
    <x v="28"/>
    <x v="65"/>
    <x v="2"/>
    <n v="44742"/>
    <n v="2305"/>
    <s v="00090010000 / KREDITRTE KREDITRENTER (ACMT/MCOP/INTR)"/>
    <s v=" "/>
    <n v="-1336"/>
    <x v="3"/>
  </r>
  <r>
    <x v="1"/>
    <x v="28"/>
    <x v="65"/>
    <x v="10"/>
    <n v="44835"/>
    <n v="2347"/>
    <s v="00090010000 / KREDITRTE KREDITRENTER (ACMT/MCOP/INTR)"/>
    <s v=" "/>
    <n v="-1793"/>
    <x v="3"/>
  </r>
  <r>
    <x v="1"/>
    <x v="28"/>
    <x v="65"/>
    <x v="10"/>
    <n v="44835"/>
    <n v="2347"/>
    <s v="00090010000 / KREDITRTE KREDITRENTER (ACMT/MCOP/INTR)"/>
    <s v=" "/>
    <n v="1793"/>
    <x v="3"/>
  </r>
  <r>
    <x v="1"/>
    <x v="28"/>
    <x v="65"/>
    <x v="7"/>
    <n v="44834"/>
    <n v="2347"/>
    <s v="00090010000 / KREDITRTE KREDITRENTER (ACMT/MCOP/INTR)"/>
    <s v=" "/>
    <n v="-1793"/>
    <x v="3"/>
  </r>
  <r>
    <x v="1"/>
    <x v="29"/>
    <x v="66"/>
    <x v="6"/>
    <n v="44915"/>
    <n v="2009768"/>
    <s v="Inngående faktura"/>
    <s v=" "/>
    <n v="102.42"/>
    <x v="3"/>
  </r>
  <r>
    <x v="1"/>
    <x v="29"/>
    <x v="66"/>
    <x v="10"/>
    <n v="44861"/>
    <n v="2009733"/>
    <s v="Inngående faktura"/>
    <s v=" "/>
    <n v="728.83"/>
    <x v="3"/>
  </r>
  <r>
    <x v="1"/>
    <x v="29"/>
    <x v="66"/>
    <x v="9"/>
    <n v="44887"/>
    <n v="2009749"/>
    <s v="Inngående faktura"/>
    <s v=" "/>
    <n v="6.28"/>
    <x v="3"/>
  </r>
  <r>
    <x v="1"/>
    <x v="29"/>
    <x v="66"/>
    <x v="4"/>
    <n v="44660"/>
    <n v="2009547"/>
    <s v="Inngående faktura"/>
    <s v="Revisorhuset AS"/>
    <n v="84.42"/>
    <x v="3"/>
  </r>
  <r>
    <x v="1"/>
    <x v="29"/>
    <x v="66"/>
    <x v="11"/>
    <n v="44650"/>
    <n v="2009523"/>
    <s v="Intrum AS"/>
    <s v="Intrum AS"/>
    <n v="1.1000000000000001"/>
    <x v="3"/>
  </r>
  <r>
    <x v="1"/>
    <x v="29"/>
    <x v="66"/>
    <x v="11"/>
    <n v="44634"/>
    <n v="2009514"/>
    <s v="Inngående faktura"/>
    <s v=" "/>
    <n v="561.51"/>
    <x v="3"/>
  </r>
  <r>
    <x v="1"/>
    <x v="29"/>
    <x v="66"/>
    <x v="11"/>
    <n v="44629"/>
    <n v="2009497"/>
    <s v="Faktura er etterspurt Ticket554674775 I.M 23.03.2022"/>
    <s v=" "/>
    <n v="141.94999999999999"/>
    <x v="3"/>
  </r>
  <r>
    <x v="1"/>
    <x v="29"/>
    <x v="66"/>
    <x v="1"/>
    <n v="44733"/>
    <n v="2009631"/>
    <s v="Svea Finans AS"/>
    <s v="Haugaland Kraft AS"/>
    <n v="254.39"/>
    <x v="3"/>
  </r>
  <r>
    <x v="1"/>
    <x v="30"/>
    <x v="67"/>
    <x v="6"/>
    <n v="44896"/>
    <n v="2385"/>
    <s v="korreksjon"/>
    <s v=" "/>
    <n v="-7029.74"/>
    <x v="3"/>
  </r>
  <r>
    <x v="1"/>
    <x v="30"/>
    <x v="67"/>
    <x v="9"/>
    <n v="44866"/>
    <n v="382798"/>
    <s v="1"/>
    <s v="Bilagsnr 10 er brukt tidligere"/>
    <n v="160.13"/>
    <x v="3"/>
  </r>
  <r>
    <x v="1"/>
    <x v="30"/>
    <x v="67"/>
    <x v="11"/>
    <n v="44645"/>
    <n v="382264"/>
    <s v="25"/>
    <s v=" "/>
    <n v="401.48"/>
    <x v="3"/>
  </r>
  <r>
    <x v="1"/>
    <x v="30"/>
    <x v="67"/>
    <x v="5"/>
    <n v="44571"/>
    <n v="382115"/>
    <s v="10"/>
    <s v=" "/>
    <n v="-2406.9"/>
    <x v="3"/>
  </r>
  <r>
    <x v="1"/>
    <x v="30"/>
    <x v="67"/>
    <x v="5"/>
    <n v="44592"/>
    <n v="382143"/>
    <s v="Utgående faktura"/>
    <s v=" "/>
    <n v="790.65"/>
    <x v="3"/>
  </r>
  <r>
    <x v="1"/>
    <x v="30"/>
    <x v="67"/>
    <x v="5"/>
    <n v="44592"/>
    <n v="382143"/>
    <s v="Utgående faktura"/>
    <s v=" "/>
    <n v="118.37"/>
    <x v="3"/>
  </r>
  <r>
    <x v="1"/>
    <x v="30"/>
    <x v="67"/>
    <x v="11"/>
    <n v="44651"/>
    <n v="2266"/>
    <s v="korr 1511 - 3750"/>
    <s v=" "/>
    <n v="11756.12"/>
    <x v="3"/>
  </r>
  <r>
    <x v="1"/>
    <x v="30"/>
    <x v="67"/>
    <x v="11"/>
    <n v="44644"/>
    <n v="382263"/>
    <s v="24"/>
    <s v=" "/>
    <n v="550.95000000000005"/>
    <x v="3"/>
  </r>
  <r>
    <x v="1"/>
    <x v="30"/>
    <x v="67"/>
    <x v="5"/>
    <n v="44575"/>
    <n v="382111"/>
    <s v="14"/>
    <s v=" "/>
    <n v="-761.6"/>
    <x v="3"/>
  </r>
  <r>
    <x v="1"/>
    <x v="30"/>
    <x v="67"/>
    <x v="3"/>
    <n v="44595"/>
    <n v="382164"/>
    <s v="3"/>
    <s v=" "/>
    <n v="219.37"/>
    <x v="3"/>
  </r>
  <r>
    <x v="1"/>
    <x v="30"/>
    <x v="67"/>
    <x v="3"/>
    <n v="44596"/>
    <n v="382165"/>
    <s v="4"/>
    <s v=" "/>
    <n v="-1959.04"/>
    <x v="3"/>
  </r>
  <r>
    <x v="1"/>
    <x v="30"/>
    <x v="67"/>
    <x v="5"/>
    <n v="44575"/>
    <n v="382111"/>
    <s v="14"/>
    <s v=" "/>
    <n v="505.6"/>
    <x v="3"/>
  </r>
  <r>
    <x v="1"/>
    <x v="30"/>
    <x v="67"/>
    <x v="5"/>
    <n v="44572"/>
    <n v="382114"/>
    <s v="11"/>
    <s v=" "/>
    <n v="-614.42999999999995"/>
    <x v="3"/>
  </r>
  <r>
    <x v="1"/>
    <x v="30"/>
    <x v="67"/>
    <x v="5"/>
    <n v="44590"/>
    <n v="382145"/>
    <s v="29"/>
    <s v=" "/>
    <n v="-518.34"/>
    <x v="3"/>
  </r>
  <r>
    <x v="1"/>
    <x v="30"/>
    <x v="67"/>
    <x v="3"/>
    <n v="44604"/>
    <n v="382173"/>
    <s v="12"/>
    <s v=" "/>
    <n v="-367.45"/>
    <x v="3"/>
  </r>
  <r>
    <x v="1"/>
    <x v="30"/>
    <x v="67"/>
    <x v="3"/>
    <n v="44599"/>
    <n v="382168"/>
    <s v="7"/>
    <s v=" "/>
    <n v="-838.15"/>
    <x v="3"/>
  </r>
  <r>
    <x v="1"/>
    <x v="30"/>
    <x v="67"/>
    <x v="11"/>
    <n v="44623"/>
    <n v="382221"/>
    <s v="3"/>
    <s v=" "/>
    <n v="-8672.9500000000007"/>
    <x v="3"/>
  </r>
  <r>
    <x v="1"/>
    <x v="30"/>
    <x v="67"/>
    <x v="11"/>
    <n v="44634"/>
    <n v="382240"/>
    <s v="14"/>
    <s v=" "/>
    <n v="-4182.28"/>
    <x v="3"/>
  </r>
  <r>
    <x v="1"/>
    <x v="30"/>
    <x v="67"/>
    <x v="5"/>
    <n v="44578"/>
    <n v="382108"/>
    <s v="17"/>
    <s v=" "/>
    <n v="-689.15"/>
    <x v="3"/>
  </r>
  <r>
    <x v="1"/>
    <x v="30"/>
    <x v="67"/>
    <x v="5"/>
    <n v="44579"/>
    <n v="382107"/>
    <s v="18"/>
    <s v=" "/>
    <n v="-1454.58"/>
    <x v="3"/>
  </r>
  <r>
    <x v="1"/>
    <x v="30"/>
    <x v="67"/>
    <x v="3"/>
    <n v="44593"/>
    <n v="382162"/>
    <s v="1"/>
    <s v=" "/>
    <n v="518.34"/>
    <x v="3"/>
  </r>
  <r>
    <x v="1"/>
    <x v="30"/>
    <x v="67"/>
    <x v="3"/>
    <n v="44594"/>
    <n v="382163"/>
    <s v="2"/>
    <s v=" "/>
    <n v="-219.37"/>
    <x v="3"/>
  </r>
  <r>
    <x v="1"/>
    <x v="30"/>
    <x v="67"/>
    <x v="3"/>
    <n v="44606"/>
    <n v="382184"/>
    <s v="14"/>
    <s v=" "/>
    <n v="367.45"/>
    <x v="3"/>
  </r>
  <r>
    <x v="1"/>
    <x v="30"/>
    <x v="67"/>
    <x v="3"/>
    <n v="44607"/>
    <n v="382185"/>
    <s v="15"/>
    <s v=" "/>
    <n v="-1032.05"/>
    <x v="3"/>
  </r>
  <r>
    <x v="1"/>
    <x v="30"/>
    <x v="67"/>
    <x v="3"/>
    <n v="44607"/>
    <n v="382185"/>
    <s v="15"/>
    <s v=" "/>
    <n v="2226.5"/>
    <x v="3"/>
  </r>
  <r>
    <x v="1"/>
    <x v="30"/>
    <x v="67"/>
    <x v="3"/>
    <n v="44616"/>
    <n v="382203"/>
    <s v="24"/>
    <s v=" "/>
    <n v="-1099.1199999999999"/>
    <x v="3"/>
  </r>
  <r>
    <x v="1"/>
    <x v="30"/>
    <x v="67"/>
    <x v="3"/>
    <n v="44614"/>
    <n v="382205"/>
    <s v="22"/>
    <s v=" "/>
    <n v="-763.35"/>
    <x v="3"/>
  </r>
  <r>
    <x v="1"/>
    <x v="30"/>
    <x v="67"/>
    <x v="3"/>
    <n v="44614"/>
    <n v="382205"/>
    <s v="22"/>
    <s v=" "/>
    <n v="763.35"/>
    <x v="3"/>
  </r>
  <r>
    <x v="1"/>
    <x v="30"/>
    <x v="67"/>
    <x v="11"/>
    <n v="44622"/>
    <n v="382220"/>
    <s v="2"/>
    <s v=" "/>
    <n v="360.5"/>
    <x v="3"/>
  </r>
  <r>
    <x v="1"/>
    <x v="30"/>
    <x v="67"/>
    <x v="11"/>
    <n v="44622"/>
    <n v="382220"/>
    <s v="2"/>
    <s v=" "/>
    <n v="-360.5"/>
    <x v="3"/>
  </r>
  <r>
    <x v="1"/>
    <x v="30"/>
    <x v="67"/>
    <x v="11"/>
    <n v="44629"/>
    <n v="382230"/>
    <s v="9"/>
    <s v=" "/>
    <n v="-1432.26"/>
    <x v="3"/>
  </r>
  <r>
    <x v="1"/>
    <x v="30"/>
    <x v="67"/>
    <x v="11"/>
    <n v="44629"/>
    <n v="382230"/>
    <s v="9"/>
    <s v=" "/>
    <n v="314.26"/>
    <x v="3"/>
  </r>
  <r>
    <x v="1"/>
    <x v="30"/>
    <x v="67"/>
    <x v="11"/>
    <n v="44621"/>
    <n v="382219"/>
    <s v="1"/>
    <s v=" "/>
    <n v="1099.1199999999999"/>
    <x v="3"/>
  </r>
  <r>
    <x v="1"/>
    <x v="30"/>
    <x v="67"/>
    <x v="11"/>
    <n v="44630"/>
    <n v="382231"/>
    <s v="Utgående faktura"/>
    <s v=" "/>
    <n v="-3900.14"/>
    <x v="3"/>
  </r>
  <r>
    <x v="1"/>
    <x v="30"/>
    <x v="67"/>
    <x v="11"/>
    <n v="44637"/>
    <n v="382243"/>
    <s v="17"/>
    <s v=" "/>
    <n v="1117.99"/>
    <x v="3"/>
  </r>
  <r>
    <x v="1"/>
    <x v="30"/>
    <x v="67"/>
    <x v="11"/>
    <n v="44638"/>
    <n v="382244"/>
    <s v="18"/>
    <s v=" "/>
    <n v="-550.95000000000005"/>
    <x v="3"/>
  </r>
  <r>
    <x v="1"/>
    <x v="30"/>
    <x v="67"/>
    <x v="11"/>
    <n v="44640"/>
    <n v="382246"/>
    <s v="20"/>
    <s v=" "/>
    <n v="-388.46"/>
    <x v="3"/>
  </r>
  <r>
    <x v="1"/>
    <x v="30"/>
    <x v="67"/>
    <x v="11"/>
    <n v="44640"/>
    <n v="382246"/>
    <s v="20"/>
    <s v=" "/>
    <n v="-401.48"/>
    <x v="3"/>
  </r>
  <r>
    <x v="1"/>
    <x v="30"/>
    <x v="67"/>
    <x v="11"/>
    <n v="44641"/>
    <n v="382247"/>
    <s v="21"/>
    <s v=" "/>
    <n v="-1164.0999999999999"/>
    <x v="3"/>
  </r>
  <r>
    <x v="1"/>
    <x v="30"/>
    <x v="67"/>
    <x v="11"/>
    <n v="44641"/>
    <n v="382247"/>
    <s v="21"/>
    <s v=" "/>
    <n v="1552.56"/>
    <x v="3"/>
  </r>
  <r>
    <x v="1"/>
    <x v="30"/>
    <x v="67"/>
    <x v="5"/>
    <n v="44563"/>
    <n v="382091"/>
    <s v="2"/>
    <s v=" "/>
    <n v="-790.65"/>
    <x v="3"/>
  </r>
  <r>
    <x v="1"/>
    <x v="30"/>
    <x v="67"/>
    <x v="5"/>
    <n v="44564"/>
    <n v="382092"/>
    <s v="3"/>
    <s v=" "/>
    <n v="-118.37"/>
    <x v="3"/>
  </r>
  <r>
    <x v="1"/>
    <x v="30"/>
    <x v="67"/>
    <x v="11"/>
    <n v="44631"/>
    <n v="382232"/>
    <s v="11"/>
    <s v=" "/>
    <n v="3900.14"/>
    <x v="3"/>
  </r>
  <r>
    <x v="1"/>
    <x v="30"/>
    <x v="67"/>
    <x v="5"/>
    <n v="44580"/>
    <n v="382129"/>
    <s v="19"/>
    <s v=" "/>
    <n v="256"/>
    <x v="3"/>
  </r>
  <r>
    <x v="1"/>
    <x v="30"/>
    <x v="68"/>
    <x v="5"/>
    <n v="44575"/>
    <n v="382111"/>
    <s v="14"/>
    <s v=" "/>
    <n v="113.04"/>
    <x v="3"/>
  </r>
  <r>
    <x v="1"/>
    <x v="30"/>
    <x v="68"/>
    <x v="5"/>
    <n v="44575"/>
    <n v="382111"/>
    <s v="14"/>
    <s v=" "/>
    <n v="-113.04"/>
    <x v="3"/>
  </r>
  <r>
    <x v="1"/>
    <x v="30"/>
    <x v="68"/>
    <x v="5"/>
    <n v="44571"/>
    <n v="382115"/>
    <s v="10"/>
    <s v=" "/>
    <n v="-913.04"/>
    <x v="3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Kostnad" cacheId="5" applyNumberFormats="0" applyBorderFormats="0" applyFontFormats="0" applyPatternFormats="0" applyAlignmentFormats="0" applyWidthHeightFormats="1" dataCaption="Data" showMissing="1" preserveFormatting="1" itemPrintTitles="1" compactData="0" updatedVersion="6" indent="0" gridDropZones="1" showMemberPropertyTips="0">
  <location ref="A3:O36" firstHeaderRow="1" firstDataRow="2" firstDataCol="2" rowPageCount="1" colPageCount="1"/>
  <pivotFields count="10">
    <pivotField axis="axisPage" compact="0" outline="0" subtotalTop="0" showAll="0" includeNewItemsInFilter="1">
      <items count="3">
        <item x="1"/>
        <item x="0"/>
        <item t="default"/>
      </items>
    </pivotField>
    <pivotField axis="axisRow" compact="0" outline="0" subtotalTop="0" showAll="0" includeNewItemsInFilter="1" defaultSubtotal="0">
      <items count="31">
        <item sd="0" x="0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1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</items>
    </pivotField>
    <pivotField axis="axisRow" compact="0" outline="0" subtotalTop="0" showAll="0" includeNewItemsInFilter="1">
      <items count="70">
        <item x="67"/>
        <item x="68"/>
        <item x="0"/>
        <item x="2"/>
        <item x="5"/>
        <item x="6"/>
        <item x="3"/>
        <item x="4"/>
        <item x="7"/>
        <item x="8"/>
        <item x="9"/>
        <item x="10"/>
        <item x="62"/>
        <item x="63"/>
        <item x="46"/>
        <item x="13"/>
        <item x="14"/>
        <item x="15"/>
        <item x="16"/>
        <item x="47"/>
        <item x="11"/>
        <item x="12"/>
        <item x="18"/>
        <item x="19"/>
        <item x="20"/>
        <item x="21"/>
        <item x="23"/>
        <item x="24"/>
        <item x="25"/>
        <item x="26"/>
        <item x="17"/>
        <item x="27"/>
        <item x="28"/>
        <item x="29"/>
        <item x="30"/>
        <item x="31"/>
        <item x="32"/>
        <item x="33"/>
        <item x="35"/>
        <item x="34"/>
        <item x="36"/>
        <item x="37"/>
        <item x="38"/>
        <item x="39"/>
        <item x="40"/>
        <item x="41"/>
        <item x="42"/>
        <item x="43"/>
        <item x="44"/>
        <item x="45"/>
        <item x="22"/>
        <item x="48"/>
        <item x="49"/>
        <item x="52"/>
        <item x="53"/>
        <item x="54"/>
        <item x="57"/>
        <item x="1"/>
        <item x="58"/>
        <item x="59"/>
        <item x="50"/>
        <item x="56"/>
        <item x="60"/>
        <item x="61"/>
        <item x="51"/>
        <item x="55"/>
        <item x="64"/>
        <item x="65"/>
        <item x="66"/>
        <item t="default"/>
      </items>
    </pivotField>
    <pivotField axis="axisCol" compact="0" outline="0" subtotalTop="0" showAll="0" includeNewItemsInFilter="1">
      <items count="13">
        <item x="5"/>
        <item x="3"/>
        <item x="11"/>
        <item x="4"/>
        <item x="0"/>
        <item x="2"/>
        <item x="1"/>
        <item x="8"/>
        <item x="7"/>
        <item x="10"/>
        <item x="9"/>
        <item x="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2">
    <field x="1"/>
    <field x="2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3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0" hier="-1"/>
  </pageFields>
  <dataFields count="1">
    <dataField name="Summer av Beløp" fld="8" baseField="0" baseItem="0" numFmtId="3"/>
  </dataFields>
  <formats count="46">
    <format dxfId="103">
      <pivotArea outline="0" fieldPosition="0" dataOnly="0" type="all"/>
    </format>
    <format dxfId="104">
      <pivotArea outline="0" fieldPosition="0"/>
    </format>
    <format dxfId="105">
      <pivotArea outline="0" fieldPosition="0" dataOnly="0" labelOnly="1" type="origin"/>
    </format>
    <format dxfId="106">
      <pivotArea outline="0" fieldPosition="0" axis="axisCol" dataOnly="0" field="3" labelOnly="1" type="button"/>
    </format>
    <format dxfId="107">
      <pivotArea outline="0" fieldPosition="0" dataOnly="0" labelOnly="1" type="topRight"/>
    </format>
    <format dxfId="108">
      <pivotArea outline="0" fieldPosition="0" axis="axisRow" dataOnly="0" field="1" labelOnly="1" type="button"/>
    </format>
    <format dxfId="109">
      <pivotArea outline="0" fieldPosition="1" axis="axisRow" dataOnly="0" field="2" labelOnly="1" type="button"/>
    </format>
    <format dxfId="110">
      <pivotArea outline="0" fieldPosition="0" dataOnly="0" labelOnly="1">
        <references count="1">
          <reference field="1" count="0"/>
        </references>
      </pivotArea>
    </format>
    <format dxfId="111">
      <pivotArea outline="0" fieldPosition="0" dataOnly="0" grandRow="1" labelOnly="1"/>
    </format>
    <format dxfId="112">
      <pivotArea outline="0" fieldPosition="0" dataOnly="0" labelOnly="1">
        <references count="1">
          <reference field="3" count="0"/>
        </references>
      </pivotArea>
    </format>
    <format dxfId="113">
      <pivotArea outline="0" fieldPosition="0" dataOnly="0" grandCol="1" labelOnly="1"/>
    </format>
    <format dxfId="114">
      <pivotArea outline="0" fieldPosition="0" dataOnly="0" labelOnly="1" type="origin"/>
    </format>
    <format dxfId="115">
      <pivotArea outline="0" fieldPosition="0" axis="axisCol" dataOnly="0" field="3" labelOnly="1" type="button"/>
    </format>
    <format dxfId="116">
      <pivotArea outline="0" fieldPosition="0" dataOnly="0" labelOnly="1" type="topRight"/>
    </format>
    <format dxfId="117">
      <pivotArea outline="0" fieldPosition="0" axis="axisRow" dataOnly="0" field="1" labelOnly="1" type="button"/>
    </format>
    <format dxfId="118">
      <pivotArea outline="0" fieldPosition="1" axis="axisRow" dataOnly="0" field="2" labelOnly="1" type="button"/>
    </format>
    <format dxfId="119">
      <pivotArea outline="0" fieldPosition="0" dataOnly="0" labelOnly="1">
        <references count="1">
          <reference field="3" count="0"/>
        </references>
      </pivotArea>
    </format>
    <format dxfId="120">
      <pivotArea outline="0" fieldPosition="0" dataOnly="0" grandCol="1" labelOnly="1"/>
    </format>
    <format dxfId="121">
      <pivotArea outline="0" fieldPosition="0"/>
    </format>
    <format dxfId="122">
      <pivotArea outline="0" fieldPosition="0" axis="axisCol" dataOnly="0" field="3" labelOnly="1" type="button"/>
    </format>
    <format dxfId="123">
      <pivotArea outline="0" fieldPosition="0" dataOnly="0" labelOnly="1" type="topRight"/>
    </format>
    <format dxfId="124">
      <pivotArea outline="0" fieldPosition="0" dataOnly="0" labelOnly="1">
        <references count="1">
          <reference field="3" count="0"/>
        </references>
      </pivotArea>
    </format>
    <format dxfId="125">
      <pivotArea outline="0" fieldPosition="0" dataOnly="0" grandCol="1" labelOnly="1"/>
    </format>
    <format dxfId="126">
      <pivotArea outline="0" fieldPosition="0" dataOnly="0" labelOnly="1" type="origin"/>
    </format>
    <format dxfId="127">
      <pivotArea outline="0" fieldPosition="0" axis="axisCol" dataOnly="0" field="3" labelOnly="1" type="button"/>
    </format>
    <format dxfId="128">
      <pivotArea outline="0" fieldPosition="0" dataOnly="0" labelOnly="1" type="topRight"/>
    </format>
    <format dxfId="129">
      <pivotArea outline="0" fieldPosition="0" axis="axisRow" dataOnly="0" field="1" labelOnly="1" type="button"/>
    </format>
    <format dxfId="130">
      <pivotArea outline="0" fieldPosition="1" axis="axisRow" dataOnly="0" field="2" labelOnly="1" type="button"/>
    </format>
    <format dxfId="131">
      <pivotArea outline="0" fieldPosition="0" dataOnly="0" labelOnly="1">
        <references count="1">
          <reference field="3" count="0"/>
        </references>
      </pivotArea>
    </format>
    <format dxfId="132">
      <pivotArea outline="0" fieldPosition="0" dataOnly="0" grandCol="1" labelOnly="1"/>
    </format>
    <format dxfId="133">
      <pivotArea outline="0" fieldPosition="0" dataOnly="0" labelOnly="1">
        <references count="1">
          <reference field="3" count="0"/>
        </references>
      </pivotArea>
    </format>
    <format dxfId="134">
      <pivotArea outline="0" fieldPosition="0" dataOnly="0" grandCol="1" labelOnly="1"/>
    </format>
    <format dxfId="135">
      <pivotArea outline="0" fieldPosition="0" dataOnly="0" labelOnly="1">
        <references count="1">
          <reference field="3" count="0"/>
        </references>
      </pivotArea>
    </format>
    <format dxfId="136">
      <pivotArea outline="0" fieldPosition="0" dataOnly="0" grandCol="1" labelOnly="1"/>
    </format>
    <format dxfId="137">
      <pivotArea outline="0" fieldPosition="0" dataOnly="0" labelOnly="1">
        <references count="1">
          <reference field="0" count="0"/>
        </references>
      </pivotArea>
    </format>
    <format dxfId="10">
      <pivotArea outline="0" fieldPosition="0" dataOnly="0" type="all"/>
    </format>
    <format dxfId="9">
      <pivotArea outline="0" fieldPosition="0"/>
    </format>
    <format dxfId="8">
      <pivotArea outline="0" fieldPosition="0" dataOnly="0" labelOnly="1" type="origin"/>
    </format>
    <format dxfId="7">
      <pivotArea outline="0" fieldPosition="0" axis="axisCol" dataOnly="0" field="3" labelOnly="1" type="button"/>
    </format>
    <format dxfId="6">
      <pivotArea outline="0" fieldPosition="0" dataOnly="0" labelOnly="1" type="topRight"/>
    </format>
    <format dxfId="5">
      <pivotArea outline="0" fieldPosition="0" axis="axisRow" dataOnly="0" field="1" labelOnly="1" type="button"/>
    </format>
    <format dxfId="4">
      <pivotArea outline="0" fieldPosition="1" axis="axisRow" dataOnly="0" field="2" labelOnly="1" type="button"/>
    </format>
    <format dxfId="3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grandRow="1" labelOnly="1"/>
    </format>
    <format dxfId="1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0" Type="http://schemas.openxmlformats.org/officeDocument/2006/relationships/ctrlProp" Target="../ctrlProps/ctrlProp7.xml" /><Relationship Id="rId4" Type="http://schemas.openxmlformats.org/officeDocument/2006/relationships/ctrlProp" Target="../ctrlProps/ctrlProp1.xml" /><Relationship Id="rId8" Type="http://schemas.openxmlformats.org/officeDocument/2006/relationships/ctrlProp" Target="../ctrlProps/ctrlProp5.xml" /><Relationship Id="rId5" Type="http://schemas.openxmlformats.org/officeDocument/2006/relationships/ctrlProp" Target="../ctrlProps/ctrlProp2.xml" /><Relationship Id="rId7" Type="http://schemas.openxmlformats.org/officeDocument/2006/relationships/ctrlProp" Target="../ctrlProps/ctrlProp4.xml" /><Relationship Id="rId6" Type="http://schemas.openxmlformats.org/officeDocument/2006/relationships/ctrlProp" Target="../ctrlProps/ctrlProp3.xml" /><Relationship Id="rId9" Type="http://schemas.openxmlformats.org/officeDocument/2006/relationships/ctrlProp" Target="../ctrlProps/ctrlProp6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1"/>
  <sheetViews>
    <sheetView showGridLines="0" workbookViewId="0" topLeftCell="A1"/>
  </sheetViews>
  <sheetFormatPr defaultColWidth="11.421875" defaultRowHeight="12.75"/>
  <cols>
    <col min="1" max="1" width="18.28125" style="34" customWidth="1"/>
    <col min="2" max="2" width="10.421875" style="28" customWidth="1"/>
    <col min="3" max="8" width="11.421875" style="28" customWidth="1"/>
    <col min="9" max="9" width="11.421875" style="28" hidden="1" customWidth="1"/>
    <col min="10" max="16384" width="11.421875" style="28" customWidth="1"/>
  </cols>
  <sheetData>
    <row r="1" spans="1:8" ht="15.75">
      <c r="A1" s="37" t="str">
        <f>"Møtereferat av Statussamtale regnskap "&amp;YEAR(ToDt)</f>
        <v>Møtereferat av Statussamtale regnskap 2022</v>
      </c>
      <c r="B1" s="38"/>
      <c r="C1" s="38"/>
      <c r="D1" s="38"/>
      <c r="E1" s="38"/>
      <c r="F1" s="38"/>
      <c r="G1" s="38"/>
      <c r="H1" s="38"/>
    </row>
    <row r="2" spans="1:8" ht="15.75">
      <c r="A2" s="37"/>
      <c r="B2" s="38"/>
      <c r="C2" s="38"/>
      <c r="D2" s="38"/>
      <c r="E2" s="38"/>
      <c r="F2" s="38"/>
      <c r="G2" s="38"/>
      <c r="H2" s="38"/>
    </row>
    <row r="3" ht="12.75">
      <c r="A3" s="29"/>
    </row>
    <row r="4" ht="12.75">
      <c r="A4" s="29"/>
    </row>
    <row r="5" spans="1:7" ht="12.75">
      <c r="A5" s="30" t="s">
        <v>323</v>
      </c>
      <c r="B5" s="31" t="str">
        <f>Firmanavn&amp;" - "&amp;Firma</f>
        <v>517 Kopervik bensin og storkiosk AS - 83441</v>
      </c>
      <c r="E5" s="30" t="s">
        <v>328</v>
      </c>
      <c r="F5" s="412"/>
      <c r="G5" s="413"/>
    </row>
    <row r="6" spans="1:7" ht="12.75">
      <c r="A6" s="30" t="s">
        <v>324</v>
      </c>
      <c r="B6" s="408" t="str">
        <f>PROPER(TEXT(ToDt,"MMMM "))&amp;YEAR(ToDt)</f>
        <v>Desember 2022</v>
      </c>
      <c r="C6" s="409"/>
      <c r="E6" s="30" t="s">
        <v>337</v>
      </c>
      <c r="F6" s="412"/>
      <c r="G6" s="413"/>
    </row>
    <row r="7" spans="1:7" ht="12.75">
      <c r="A7" s="30" t="s">
        <v>325</v>
      </c>
      <c r="B7" s="410"/>
      <c r="C7" s="411"/>
      <c r="E7" s="35" t="s">
        <v>338</v>
      </c>
      <c r="F7" s="412"/>
      <c r="G7" s="413"/>
    </row>
    <row r="8" ht="12.75">
      <c r="A8" s="30"/>
    </row>
    <row r="9" spans="1:8" ht="11.25" customHeight="1">
      <c r="A9" s="30" t="s">
        <v>326</v>
      </c>
      <c r="B9" s="36" t="s">
        <v>330</v>
      </c>
      <c r="H9" s="28" t="b">
        <v>0</v>
      </c>
    </row>
    <row r="10" spans="1:8" ht="11.25" customHeight="1">
      <c r="A10" s="30"/>
      <c r="B10" s="36" t="s">
        <v>331</v>
      </c>
      <c r="H10" s="28" t="b">
        <v>0</v>
      </c>
    </row>
    <row r="11" spans="1:8" ht="11.25" customHeight="1">
      <c r="A11" s="30"/>
      <c r="B11" s="36" t="s">
        <v>332</v>
      </c>
      <c r="H11" s="28" t="b">
        <v>0</v>
      </c>
    </row>
    <row r="12" spans="1:8" ht="11.25" customHeight="1">
      <c r="A12" s="30"/>
      <c r="B12" s="36" t="s">
        <v>336</v>
      </c>
      <c r="H12" s="28" t="b">
        <v>0</v>
      </c>
    </row>
    <row r="13" spans="1:8" ht="11.25" customHeight="1">
      <c r="A13" s="30"/>
      <c r="B13" s="36" t="s">
        <v>333</v>
      </c>
      <c r="H13" s="28" t="b">
        <v>0</v>
      </c>
    </row>
    <row r="14" spans="1:8" ht="11.25" customHeight="1">
      <c r="A14" s="30"/>
      <c r="B14" s="36" t="s">
        <v>334</v>
      </c>
      <c r="H14" s="28" t="b">
        <v>0</v>
      </c>
    </row>
    <row r="15" spans="1:8" ht="11.25" customHeight="1">
      <c r="A15" s="30"/>
      <c r="B15" s="36" t="s">
        <v>335</v>
      </c>
      <c r="H15" s="28" t="b">
        <v>0</v>
      </c>
    </row>
    <row r="16" spans="1:2" ht="12.75">
      <c r="A16" s="30"/>
      <c r="B16" s="32"/>
    </row>
    <row r="17" spans="1:9" ht="12">
      <c r="A17" s="33" t="s">
        <v>339</v>
      </c>
      <c r="B17" s="27"/>
      <c r="C17" s="27"/>
      <c r="D17" s="27"/>
      <c r="E17" s="27"/>
      <c r="F17" s="27"/>
      <c r="G17" s="27"/>
      <c r="I17" s="28" t="s">
        <v>345</v>
      </c>
    </row>
    <row r="18" ht="12.75">
      <c r="A18" s="30" t="s">
        <v>327</v>
      </c>
    </row>
    <row r="19" ht="12.75">
      <c r="A19" s="30"/>
    </row>
    <row r="20" ht="12.75">
      <c r="A20" s="30"/>
    </row>
    <row r="21" ht="12.75">
      <c r="A21" s="30"/>
    </row>
    <row r="22" ht="12.75">
      <c r="A22" s="30"/>
    </row>
    <row r="23" ht="12.75">
      <c r="A23" s="30"/>
    </row>
    <row r="24" ht="12">
      <c r="A24" s="30"/>
    </row>
    <row r="25" spans="1:9" ht="12">
      <c r="A25" s="30" t="s">
        <v>329</v>
      </c>
      <c r="B25" s="27"/>
      <c r="C25" s="27"/>
      <c r="D25" s="27"/>
      <c r="E25" s="27"/>
      <c r="F25" s="27"/>
      <c r="G25" s="27"/>
      <c r="I25" s="28" t="s">
        <v>344</v>
      </c>
    </row>
    <row r="26" spans="1:7" ht="12.75">
      <c r="A26" s="30"/>
      <c r="B26" s="27"/>
      <c r="C26" s="27"/>
      <c r="D26" s="27"/>
      <c r="E26" s="27"/>
      <c r="F26" s="27"/>
      <c r="G26" s="27"/>
    </row>
    <row r="27" spans="1:7" ht="12.75">
      <c r="A27" s="30"/>
      <c r="B27" s="27"/>
      <c r="C27" s="27"/>
      <c r="D27" s="27"/>
      <c r="E27" s="27"/>
      <c r="F27" s="27"/>
      <c r="G27" s="27"/>
    </row>
    <row r="28" spans="1:7" ht="12.75">
      <c r="A28" s="30"/>
      <c r="B28" s="27"/>
      <c r="C28" s="27"/>
      <c r="D28" s="27"/>
      <c r="E28" s="27"/>
      <c r="F28" s="27"/>
      <c r="G28" s="27"/>
    </row>
    <row r="29" spans="1:7" ht="12.75">
      <c r="A29" s="30"/>
      <c r="B29" s="27"/>
      <c r="C29" s="27"/>
      <c r="D29" s="27"/>
      <c r="E29" s="27"/>
      <c r="F29" s="27"/>
      <c r="G29" s="27"/>
    </row>
    <row r="30" spans="1:7" ht="12">
      <c r="A30" s="30"/>
      <c r="B30" s="27"/>
      <c r="C30" s="27"/>
      <c r="D30" s="27"/>
      <c r="E30" s="27"/>
      <c r="F30" s="27"/>
      <c r="G30" s="27"/>
    </row>
    <row r="31" spans="1:9" ht="12">
      <c r="A31" s="30"/>
      <c r="I31" s="28" t="s">
        <v>343</v>
      </c>
    </row>
    <row r="32" ht="12.75">
      <c r="A32" s="30"/>
    </row>
    <row r="33" ht="12.75">
      <c r="A33" s="30"/>
    </row>
    <row r="34" ht="12.75">
      <c r="A34" s="30"/>
    </row>
    <row r="35" ht="12.75">
      <c r="A35" s="30"/>
    </row>
    <row r="36" ht="12">
      <c r="A36" s="30"/>
    </row>
    <row r="37" spans="1:9" ht="12">
      <c r="A37" s="30"/>
      <c r="I37" s="28" t="s">
        <v>342</v>
      </c>
    </row>
    <row r="38" ht="12.75">
      <c r="A38" s="30"/>
    </row>
    <row r="39" ht="12.75">
      <c r="A39" s="30"/>
    </row>
    <row r="40" ht="12.75">
      <c r="A40" s="30"/>
    </row>
    <row r="41" ht="12.75">
      <c r="A41" s="30"/>
    </row>
    <row r="42" ht="12">
      <c r="A42" s="30"/>
    </row>
    <row r="43" spans="1:9" ht="12.75">
      <c r="A43" s="30"/>
      <c r="I43" s="28" t="s">
        <v>340</v>
      </c>
    </row>
    <row r="44" ht="12">
      <c r="A44" s="30" t="s">
        <v>376</v>
      </c>
    </row>
    <row r="45" ht="12.75">
      <c r="A45" s="30" t="s">
        <v>377</v>
      </c>
    </row>
    <row r="46" ht="12.75">
      <c r="A46" s="30"/>
    </row>
    <row r="47" ht="12.75">
      <c r="A47" s="30"/>
    </row>
    <row r="48" ht="12.75">
      <c r="A48" s="30"/>
    </row>
    <row r="49" ht="12">
      <c r="A49" s="30"/>
    </row>
    <row r="50" spans="1:9" ht="12.75">
      <c r="A50" s="30"/>
      <c r="I50" s="28" t="s">
        <v>341</v>
      </c>
    </row>
    <row r="51" ht="12.75">
      <c r="A51" s="30"/>
    </row>
  </sheetData>
  <mergeCells count="5">
    <mergeCell ref="B6:C6"/>
    <mergeCell ref="B7:C7"/>
    <mergeCell ref="F5:G5"/>
    <mergeCell ref="F7:G7"/>
    <mergeCell ref="F6:G6"/>
  </mergeCells>
  <printOptions/>
  <pageMargins left="0.3937007874015748" right="0.3937007874015748" top="0.3937007874015748" bottom="0.3937007874015748" header="0.31496062992125984" footer="0.1968503937007874"/>
  <pageSetup horizontalDpi="600" verticalDpi="600" orientation="portrait" paperSize="9" r:id="rId3"/>
  <headerFooter>
    <oddFooter>&amp;L&amp;8&amp;A&amp;R&amp;8Azets Insight AS - 2013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4"/>
  <sheetViews>
    <sheetView showGridLines="0" zoomScale="90" zoomScaleNormal="90" workbookViewId="0" topLeftCell="C1">
      <selection activeCell="C1" sqref="C1"/>
    </sheetView>
  </sheetViews>
  <sheetFormatPr defaultColWidth="11.421875" defaultRowHeight="12.75"/>
  <cols>
    <col min="1" max="1" width="5.7109375" style="281" hidden="1" customWidth="1"/>
    <col min="2" max="2" width="5.7109375" style="40" hidden="1" customWidth="1"/>
    <col min="3" max="3" width="5.7109375" style="41" customWidth="1"/>
    <col min="4" max="4" width="32.28125" style="41" customWidth="1"/>
    <col min="5" max="5" width="12.28125" style="41" customWidth="1"/>
    <col min="6" max="6" width="18.8515625" style="41" customWidth="1"/>
    <col min="7" max="7" width="20.00390625" style="41" customWidth="1"/>
    <col min="8" max="8" width="11.421875" style="41" customWidth="1"/>
    <col min="9" max="9" width="19.57421875" style="41" customWidth="1"/>
    <col min="10" max="10" width="21.140625" style="41" customWidth="1"/>
    <col min="11" max="11" width="9.140625" style="41" customWidth="1"/>
    <col min="12" max="12" width="15.57421875" style="41" bestFit="1" customWidth="1"/>
    <col min="13" max="13" width="12.7109375" style="41" customWidth="1"/>
    <col min="14" max="14" width="9.140625" style="275" customWidth="1"/>
    <col min="15" max="18" width="12.7109375" style="40" hidden="1" customWidth="1"/>
    <col min="19" max="19" width="9.140625" style="40" customWidth="1"/>
    <col min="20" max="16384" width="11.421875" style="41" customWidth="1"/>
  </cols>
  <sheetData>
    <row r="1" spans="1:4" ht="17.25" customHeight="1">
      <c r="A1" s="278" t="str">
        <f>_xlfn.IFERROR(VLOOKUP(Enhet,Enheter!A:B,2,0),"*")</f>
        <v>*</v>
      </c>
      <c r="B1" s="287"/>
      <c r="D1" s="46" t="s">
        <v>400</v>
      </c>
    </row>
    <row r="2" spans="1:14" s="40" customFormat="1" ht="30" customHeight="1">
      <c r="A2" s="279"/>
      <c r="B2" s="275"/>
      <c r="D2" s="273" t="s">
        <v>969</v>
      </c>
      <c r="E2" s="56" t="s">
        <v>398</v>
      </c>
      <c r="K2" s="48"/>
      <c r="N2" s="275"/>
    </row>
    <row r="3" spans="1:15" ht="20.25" customHeight="1">
      <c r="A3" s="279"/>
      <c r="B3" s="275"/>
      <c r="C3" s="57"/>
      <c r="D3" s="57"/>
      <c r="E3" s="414" t="s">
        <v>392</v>
      </c>
      <c r="F3" s="414"/>
      <c r="G3" s="414"/>
      <c r="H3" s="415" t="s">
        <v>199</v>
      </c>
      <c r="I3" s="416"/>
      <c r="J3" s="416"/>
      <c r="K3" s="49"/>
      <c r="N3" s="49"/>
      <c r="O3" s="40" t="s">
        <v>397</v>
      </c>
    </row>
    <row r="4" spans="1:19" ht="20.25" customHeight="1">
      <c r="A4" s="279"/>
      <c r="B4" s="275"/>
      <c r="C4" s="57"/>
      <c r="D4" s="57"/>
      <c r="E4" s="57"/>
      <c r="F4" s="57"/>
      <c r="G4" s="57"/>
      <c r="H4" s="57"/>
      <c r="I4" s="57"/>
      <c r="J4" s="57"/>
      <c r="K4" s="57"/>
      <c r="L4" s="274" t="s">
        <v>402</v>
      </c>
      <c r="M4" s="251"/>
      <c r="N4" s="57"/>
      <c r="O4" s="298" t="s">
        <v>395</v>
      </c>
      <c r="Q4" s="40" t="s">
        <v>396</v>
      </c>
      <c r="S4" s="57"/>
    </row>
    <row r="5" spans="1:18" ht="14.25" customHeight="1">
      <c r="A5" s="280"/>
      <c r="B5" s="16"/>
      <c r="D5" s="251" t="s">
        <v>378</v>
      </c>
      <c r="E5" s="252" t="s">
        <v>379</v>
      </c>
      <c r="F5" s="253" t="s">
        <v>401</v>
      </c>
      <c r="G5" s="253" t="s">
        <v>610</v>
      </c>
      <c r="H5" s="250" t="s">
        <v>379</v>
      </c>
      <c r="I5" s="249" t="s">
        <v>401</v>
      </c>
      <c r="J5" s="249" t="s">
        <v>610</v>
      </c>
      <c r="K5" s="50"/>
      <c r="L5" s="253" t="s">
        <v>392</v>
      </c>
      <c r="M5" s="250" t="s">
        <v>199</v>
      </c>
      <c r="N5" s="276"/>
      <c r="O5" s="40" t="s">
        <v>393</v>
      </c>
      <c r="P5" s="40" t="s">
        <v>394</v>
      </c>
      <c r="Q5" s="40" t="s">
        <v>393</v>
      </c>
      <c r="R5" s="40" t="s">
        <v>394</v>
      </c>
    </row>
    <row r="6" spans="1:18" ht="14.25" customHeight="1">
      <c r="A6" s="280" t="s">
        <v>596</v>
      </c>
      <c r="B6" s="16"/>
      <c r="D6" s="258" t="s">
        <v>346</v>
      </c>
      <c r="E6" s="259">
        <f aca="true" t="shared" si="0" ref="E6:E14">SUMIFS(PrT,Site,U,AcGr3,920,ProdGr1,10,Prod,A)</f>
        <v>39796.95</v>
      </c>
      <c r="F6" s="260">
        <f>E6-SUMIFS(PrL,Site,U,AcGr3,920,ProdGr1,10,Prod,A)</f>
        <v>-2915.3600000000006</v>
      </c>
      <c r="G6" s="260">
        <f aca="true" t="shared" si="1" ref="G6:G14">E6-SUMIFS(PrB,Site,U,AcGr3,920,ProdGr1,10,Prod,A)</f>
        <v>39796.95</v>
      </c>
      <c r="H6" s="259">
        <f aca="true" t="shared" si="2" ref="H6:H14">SUMIFS(YtdT,Site,U,AcGr3,920,ProdGr1,10,Prod,A)</f>
        <v>556179.42</v>
      </c>
      <c r="I6" s="260">
        <f>H6-SUMIFS(YtdL,Site,U,AcGr3,920,ProdGr1,10,Prod,A)</f>
        <v>-130446.93999999994</v>
      </c>
      <c r="J6" s="260">
        <f aca="true" t="shared" si="3" ref="J6:J14">H6-SUMIFS(YtdB,Site,U,AcGr3,920,ProdGr1,10,Prod,A)</f>
        <v>556179.42</v>
      </c>
      <c r="K6" s="51"/>
      <c r="L6" s="282">
        <f aca="true" t="shared" si="4" ref="L6:L14">-SUMIFS(PrT,Site,U,AcGr3,"&gt;=300",AcGr3,"&lt;=499",ProdGr1,10,Prod,A)</f>
        <v>24883.850000000093</v>
      </c>
      <c r="M6" s="259">
        <f aca="true" t="shared" si="5" ref="M6:M14">-SUMIFS(YtdT,Site,U,AcGr3,"&gt;=300",AcGr3,"&lt;=499",ProdGr1,10,Prod,A)</f>
        <v>349928.8699999992</v>
      </c>
      <c r="N6" s="54"/>
      <c r="O6" s="43">
        <f>L6+SUMIFS(PrL,Site,U,AcGr3,"&gt;=300",AcGr3,"&lt;=499",ProdGr1,10,Prod,A)</f>
        <v>15751.130000000121</v>
      </c>
      <c r="P6" s="43">
        <f aca="true" t="shared" si="6" ref="P6:P14">L6+SUMIFS(PrB,Site,U,AcGr3,"&gt;=300",AcGr3,"&lt;=499",ProdGr1,10,Prod,A)</f>
        <v>24883.850000000093</v>
      </c>
      <c r="Q6" s="43">
        <f>N6+SUMIFS(YtdL,Site,U,AcGr3,"&gt;=300",AcGr3,"&lt;=499",ProdGr1,10,Prod,A)</f>
        <v>-504532.3499999996</v>
      </c>
      <c r="R6" s="43">
        <f aca="true" t="shared" si="7" ref="R6:R14">N6+SUMIFS(YtdB,Site,U,AcGr3,"&gt;=300",AcGr3,"&lt;=499",ProdGr1,10,Prod,A)</f>
        <v>0</v>
      </c>
    </row>
    <row r="7" spans="1:18" ht="14.25" customHeight="1">
      <c r="A7" s="280" t="s">
        <v>597</v>
      </c>
      <c r="B7" s="16"/>
      <c r="D7" s="261" t="s">
        <v>347</v>
      </c>
      <c r="E7" s="262">
        <f t="shared" si="0"/>
        <v>822.53</v>
      </c>
      <c r="F7" s="263">
        <f>E7-SUMIFS(PrL,Site,U,AcGr3,920,ProdGr1,10,Prod,A)</f>
        <v>-732.6100000000001</v>
      </c>
      <c r="G7" s="263">
        <f t="shared" si="1"/>
        <v>822.53</v>
      </c>
      <c r="H7" s="262">
        <f t="shared" si="2"/>
        <v>22552.36</v>
      </c>
      <c r="I7" s="263">
        <f>H7-SUMIFS(YtdL,Site,U,AcGr3,920,ProdGr1,10,Prod,A)</f>
        <v>-4639.720000000001</v>
      </c>
      <c r="J7" s="263">
        <f t="shared" si="3"/>
        <v>22552.36</v>
      </c>
      <c r="K7" s="51"/>
      <c r="L7" s="283">
        <f t="shared" si="4"/>
        <v>546.0300000000007</v>
      </c>
      <c r="M7" s="262">
        <f t="shared" si="5"/>
        <v>34067.21999999997</v>
      </c>
      <c r="N7" s="54"/>
      <c r="O7" s="43">
        <f>L7+SUMIFS(PrL,Site,U,AcGr3,"&gt;=300",AcGr3,"&lt;=499",ProdGr1,10,Prod,A)</f>
        <v>3533.800000000001</v>
      </c>
      <c r="P7" s="43">
        <f t="shared" si="6"/>
        <v>546.0300000000007</v>
      </c>
      <c r="Q7" s="43">
        <f>N7+SUMIFS(YtdL,Site,U,AcGr3,"&gt;=300",AcGr3,"&lt;=499",ProdGr1,10,Prod,A)</f>
        <v>-24487</v>
      </c>
      <c r="R7" s="43">
        <f t="shared" si="7"/>
        <v>0</v>
      </c>
    </row>
    <row r="8" spans="1:18" ht="14.25" customHeight="1">
      <c r="A8" s="280" t="s">
        <v>598</v>
      </c>
      <c r="B8" s="16"/>
      <c r="D8" s="261" t="s">
        <v>348</v>
      </c>
      <c r="E8" s="262">
        <f t="shared" si="0"/>
        <v>2638.23</v>
      </c>
      <c r="F8" s="263">
        <f>E8-SUMIFS(PrL,Site,U,AcGr3,920,ProdGr1,10,Prod,A)</f>
        <v>499.3899999999999</v>
      </c>
      <c r="G8" s="263">
        <f t="shared" si="1"/>
        <v>2638.23</v>
      </c>
      <c r="H8" s="262">
        <f t="shared" si="2"/>
        <v>27560.05</v>
      </c>
      <c r="I8" s="263">
        <f>H8-SUMIFS(YtdL,Site,U,AcGr3,920,ProdGr1,10,Prod,A)</f>
        <v>-6132.619999999999</v>
      </c>
      <c r="J8" s="263">
        <f t="shared" si="3"/>
        <v>27560.05</v>
      </c>
      <c r="K8" s="51"/>
      <c r="L8" s="283">
        <f t="shared" si="4"/>
        <v>-14398.07</v>
      </c>
      <c r="M8" s="262">
        <f t="shared" si="5"/>
        <v>26408.669999999984</v>
      </c>
      <c r="N8" s="54"/>
      <c r="O8" s="43">
        <f>L8+SUMIFS(PrL,Site,U,AcGr3,"&gt;=300",AcGr3,"&lt;=499",ProdGr1,10,Prod,A)</f>
        <v>-11864.71</v>
      </c>
      <c r="P8" s="43">
        <f t="shared" si="6"/>
        <v>-14398.07</v>
      </c>
      <c r="Q8" s="43">
        <f>N8+SUMIFS(YtdL,Site,U,AcGr3,"&gt;=300",AcGr3,"&lt;=499",ProdGr1,10,Prod,A)</f>
        <v>-39222.110000000044</v>
      </c>
      <c r="R8" s="43">
        <f t="shared" si="7"/>
        <v>0</v>
      </c>
    </row>
    <row r="9" spans="1:18" ht="14.25" customHeight="1">
      <c r="A9" s="280" t="s">
        <v>599</v>
      </c>
      <c r="B9" s="16"/>
      <c r="D9" s="261" t="s">
        <v>349</v>
      </c>
      <c r="E9" s="262">
        <f t="shared" si="0"/>
        <v>56066.21</v>
      </c>
      <c r="F9" s="263">
        <f>E9-SUMIFS(PrL,Site,U,AcGr3,920,ProdGr1,10,Prod,A)</f>
        <v>1424.6699999999983</v>
      </c>
      <c r="G9" s="263">
        <f t="shared" si="1"/>
        <v>56066.21</v>
      </c>
      <c r="H9" s="262">
        <f>SUMIFS(YtdT,Site,U,AcGr3,920,ProdGr1,10,Prod,A)</f>
        <v>642914.28</v>
      </c>
      <c r="I9" s="263">
        <f>H9-SUMIFS(YtdL,Site,U,AcGr3,920,ProdGr1,10,Prod,A)</f>
        <v>-100553.78999999992</v>
      </c>
      <c r="J9" s="263">
        <f t="shared" si="3"/>
        <v>642914.28</v>
      </c>
      <c r="K9" s="51"/>
      <c r="L9" s="283">
        <f t="shared" si="4"/>
        <v>45897.69999999995</v>
      </c>
      <c r="M9" s="262">
        <f t="shared" si="5"/>
        <v>525690.6500000004</v>
      </c>
      <c r="N9" s="54"/>
      <c r="O9" s="43">
        <f>L9+SUMIFS(PrL,Site,U,AcGr3,"&gt;=300",AcGr3,"&lt;=499",ProdGr1,10,Prod,A)</f>
        <v>23299.93000000005</v>
      </c>
      <c r="P9" s="43">
        <f t="shared" si="6"/>
        <v>45897.69999999995</v>
      </c>
      <c r="Q9" s="43">
        <f>N9+SUMIFS(YtdL,Site,U,AcGr3,"&gt;=300",AcGr3,"&lt;=499",ProdGr1,10,Prod,A)</f>
        <v>-574428.5999999996</v>
      </c>
      <c r="R9" s="43">
        <f t="shared" si="7"/>
        <v>0</v>
      </c>
    </row>
    <row r="10" spans="1:18" ht="14.25" customHeight="1">
      <c r="A10" s="280" t="s">
        <v>600</v>
      </c>
      <c r="B10" s="16"/>
      <c r="D10" s="261" t="s">
        <v>127</v>
      </c>
      <c r="E10" s="262">
        <f t="shared" si="0"/>
        <v>10913.16</v>
      </c>
      <c r="F10" s="263">
        <f>E10-SUMIFS(PrL,Site,U,AcGr3,920,ProdGr1,10,Prod,A)</f>
        <v>-703.6399999999994</v>
      </c>
      <c r="G10" s="263">
        <f t="shared" si="1"/>
        <v>10913.16</v>
      </c>
      <c r="H10" s="262">
        <f t="shared" si="2"/>
        <v>283762.94</v>
      </c>
      <c r="I10" s="263">
        <f>H10-SUMIFS(YtdL,Site,U,AcGr3,920,ProdGr1,10,Prod,A)</f>
        <v>-111850.93</v>
      </c>
      <c r="J10" s="263">
        <f t="shared" si="3"/>
        <v>283762.94</v>
      </c>
      <c r="K10" s="51"/>
      <c r="L10" s="283">
        <f t="shared" si="4"/>
        <v>-321.11999999999534</v>
      </c>
      <c r="M10" s="262">
        <f t="shared" si="5"/>
        <v>218363.94999999972</v>
      </c>
      <c r="N10" s="54"/>
      <c r="O10" s="43">
        <f>L10+SUMIFS(PrL,Site,U,AcGr3,"&gt;=300",AcGr3,"&lt;=499",ProdGr1,10,Prod,A)</f>
        <v>-2615.219999999989</v>
      </c>
      <c r="P10" s="43">
        <f t="shared" si="6"/>
        <v>-321.11999999999534</v>
      </c>
      <c r="Q10" s="43">
        <f>N10+SUMIFS(YtdL,Site,U,AcGr3,"&gt;=300",AcGr3,"&lt;=499",ProdGr1,10,Prod,A)</f>
        <v>-188659.31999999977</v>
      </c>
      <c r="R10" s="43">
        <f t="shared" si="7"/>
        <v>0</v>
      </c>
    </row>
    <row r="11" spans="1:18" ht="14.25" customHeight="1">
      <c r="A11" s="280" t="s">
        <v>601</v>
      </c>
      <c r="B11" s="16"/>
      <c r="D11" s="261" t="s">
        <v>359</v>
      </c>
      <c r="E11" s="262">
        <f t="shared" si="0"/>
        <v>0</v>
      </c>
      <c r="F11" s="263">
        <f>E11-SUMIFS(PrL,Site,U,AcGr3,920,ProdGr1,10,Prod,A)</f>
        <v>0</v>
      </c>
      <c r="G11" s="263">
        <f t="shared" si="1"/>
        <v>0</v>
      </c>
      <c r="H11" s="262">
        <f t="shared" si="2"/>
        <v>0</v>
      </c>
      <c r="I11" s="263">
        <f>H11-SUMIFS(YtdL,Site,U,AcGr3,920,ProdGr1,10,Prod,A)</f>
        <v>0</v>
      </c>
      <c r="J11" s="263">
        <f t="shared" si="3"/>
        <v>0</v>
      </c>
      <c r="K11" s="51"/>
      <c r="L11" s="283">
        <f t="shared" si="4"/>
        <v>0</v>
      </c>
      <c r="M11" s="262">
        <f t="shared" si="5"/>
        <v>0</v>
      </c>
      <c r="N11" s="54"/>
      <c r="O11" s="43">
        <f>L11+SUMIFS(PrL,Site,U,AcGr3,"&gt;=300",AcGr3,"&lt;=499",ProdGr1,10,Prod,A)</f>
        <v>0</v>
      </c>
      <c r="P11" s="43">
        <f t="shared" si="6"/>
        <v>0</v>
      </c>
      <c r="Q11" s="43">
        <f>N11+SUMIFS(YtdL,Site,U,AcGr3,"&gt;=300",AcGr3,"&lt;=499",ProdGr1,10,Prod,A)</f>
        <v>0</v>
      </c>
      <c r="R11" s="43">
        <f t="shared" si="7"/>
        <v>0</v>
      </c>
    </row>
    <row r="12" spans="1:18" ht="14.25" customHeight="1">
      <c r="A12" s="280" t="s">
        <v>602</v>
      </c>
      <c r="B12" s="16"/>
      <c r="D12" s="261" t="s">
        <v>128</v>
      </c>
      <c r="E12" s="262">
        <f t="shared" si="0"/>
        <v>0</v>
      </c>
      <c r="F12" s="263">
        <f>E12-SUMIFS(PrL,Site,U,AcGr3,920,ProdGr1,10,Prod,A)</f>
        <v>0</v>
      </c>
      <c r="G12" s="263">
        <f t="shared" si="1"/>
        <v>0</v>
      </c>
      <c r="H12" s="262">
        <f t="shared" si="2"/>
        <v>0</v>
      </c>
      <c r="I12" s="263">
        <f>H12-SUMIFS(YtdL,Site,U,AcGr3,920,ProdGr1,10,Prod,A)</f>
        <v>0</v>
      </c>
      <c r="J12" s="263">
        <f t="shared" si="3"/>
        <v>0</v>
      </c>
      <c r="K12" s="51"/>
      <c r="L12" s="283">
        <f t="shared" si="4"/>
        <v>0</v>
      </c>
      <c r="M12" s="262">
        <f t="shared" si="5"/>
        <v>0</v>
      </c>
      <c r="N12" s="54"/>
      <c r="O12" s="43">
        <f>L12+SUMIFS(PrL,Site,U,AcGr3,"&gt;=300",AcGr3,"&lt;=499",ProdGr1,10,Prod,A)</f>
        <v>0</v>
      </c>
      <c r="P12" s="43">
        <f t="shared" si="6"/>
        <v>0</v>
      </c>
      <c r="Q12" s="43">
        <f>N12+SUMIFS(YtdL,Site,U,AcGr3,"&gt;=300",AcGr3,"&lt;=499",ProdGr1,10,Prod,A)</f>
        <v>0</v>
      </c>
      <c r="R12" s="43">
        <f t="shared" si="7"/>
        <v>0</v>
      </c>
    </row>
    <row r="13" spans="1:18" ht="14.25" customHeight="1">
      <c r="A13" s="280">
        <v>1009</v>
      </c>
      <c r="B13" s="16"/>
      <c r="D13" s="261" t="s">
        <v>129</v>
      </c>
      <c r="E13" s="264">
        <f t="shared" si="0"/>
        <v>0</v>
      </c>
      <c r="F13" s="263">
        <f>E13-SUMIFS(PrL,Site,U,AcGr3,920,ProdGr1,10,Prod,A)</f>
        <v>0</v>
      </c>
      <c r="G13" s="263">
        <f t="shared" si="1"/>
        <v>0</v>
      </c>
      <c r="H13" s="264">
        <f t="shared" si="2"/>
        <v>0</v>
      </c>
      <c r="I13" s="263">
        <f>H13-SUMIFS(YtdL,Site,U,AcGr3,920,ProdGr1,10,Prod,A)</f>
        <v>0</v>
      </c>
      <c r="J13" s="263">
        <f t="shared" si="3"/>
        <v>0</v>
      </c>
      <c r="K13" s="51"/>
      <c r="L13" s="283">
        <f t="shared" si="4"/>
        <v>0</v>
      </c>
      <c r="M13" s="262">
        <f t="shared" si="5"/>
        <v>0</v>
      </c>
      <c r="N13" s="54"/>
      <c r="O13" s="43">
        <f>L13+SUMIFS(PrL,Site,U,AcGr3,"&gt;=300",AcGr3,"&lt;=499",ProdGr1,10,Prod,A)</f>
        <v>0</v>
      </c>
      <c r="P13" s="43">
        <f t="shared" si="6"/>
        <v>0</v>
      </c>
      <c r="Q13" s="43">
        <f>N13+SUMIFS(YtdL,Site,U,AcGr3,"&gt;=300",AcGr3,"&lt;=499",ProdGr1,10,Prod,A)</f>
        <v>0</v>
      </c>
      <c r="R13" s="43">
        <f t="shared" si="7"/>
        <v>0</v>
      </c>
    </row>
    <row r="14" spans="1:18" ht="14.25" customHeight="1">
      <c r="A14" s="280" t="s">
        <v>603</v>
      </c>
      <c r="B14" s="16"/>
      <c r="D14" s="265" t="s">
        <v>403</v>
      </c>
      <c r="E14" s="266">
        <f t="shared" si="0"/>
        <v>0</v>
      </c>
      <c r="F14" s="267">
        <f>E14-SUMIFS(PrL,Site,U,AcGr3,920,ProdGr1,10,Prod,A)</f>
        <v>0</v>
      </c>
      <c r="G14" s="267">
        <f t="shared" si="1"/>
        <v>0</v>
      </c>
      <c r="H14" s="266">
        <f t="shared" si="2"/>
        <v>0</v>
      </c>
      <c r="I14" s="267">
        <f>H14-SUMIFS(YtdL,Site,U,AcGr3,920,ProdGr1,10,Prod,A)</f>
        <v>0</v>
      </c>
      <c r="J14" s="267">
        <f t="shared" si="3"/>
        <v>0</v>
      </c>
      <c r="K14" s="51"/>
      <c r="L14" s="284">
        <f t="shared" si="4"/>
        <v>0</v>
      </c>
      <c r="M14" s="285">
        <f t="shared" si="5"/>
        <v>0</v>
      </c>
      <c r="N14" s="54"/>
      <c r="O14" s="43">
        <f>L14+SUMIFS(PrL,Site,U,AcGr3,"&gt;=300",AcGr3,"&lt;=499",ProdGr1,10,Prod,A)</f>
        <v>0</v>
      </c>
      <c r="P14" s="43">
        <f t="shared" si="6"/>
        <v>0</v>
      </c>
      <c r="Q14" s="43">
        <f>N14+SUMIFS(YtdL,Site,U,AcGr3,"&gt;=300",AcGr3,"&lt;=499",ProdGr1,10,Prod,A)</f>
        <v>0</v>
      </c>
      <c r="R14" s="43">
        <f t="shared" si="7"/>
        <v>0</v>
      </c>
    </row>
    <row r="15" spans="1:18" ht="14.25" customHeight="1">
      <c r="A15" s="280" t="s">
        <v>604</v>
      </c>
      <c r="B15" s="16"/>
      <c r="D15" s="254" t="s">
        <v>380</v>
      </c>
      <c r="E15" s="257">
        <f>SUMIFS(PrT,Site,U,AcGr3,920,ProdGr1,A)</f>
        <v>110237.08</v>
      </c>
      <c r="F15" s="255">
        <f>E15-SUMIFS(PrL,Site,U,AcGr3,920,ProdGr1,A)</f>
        <v>-2427.5499999999884</v>
      </c>
      <c r="G15" s="255">
        <f>E15-SUMIFS(PrB,Site,U,AcGr3,920,ProdGr1,A)</f>
        <v>110237.08</v>
      </c>
      <c r="H15" s="256">
        <f>SUMIFS(YtdT,Site,U,AcGr3,920,ProdGr1,A)</f>
        <v>1532969.05</v>
      </c>
      <c r="I15" s="248">
        <f>H15-SUMIFS(YtdL,Site,U,AcGr3,920,ProdGr1,A)</f>
        <v>-353623.99999999977</v>
      </c>
      <c r="J15" s="248">
        <f>H15-SUMIFS(YtdB,Site,U,AcGr3,920,ProdGr1,A)</f>
        <v>1532969.05</v>
      </c>
      <c r="K15" s="52"/>
      <c r="L15" s="255">
        <f>-SUMIFS(PrT,Site,U,AcGr3,"&gt;=300",AcGr3,"&lt;=499",ProdGr1,A)</f>
        <v>56608.389999999985</v>
      </c>
      <c r="M15" s="256">
        <f>-SUMIFS(YtdT,Site,U,AcGr3,"&gt;=300",AcGr3,"&lt;=499",ProdGr1,A)</f>
        <v>1154459.3600000017</v>
      </c>
      <c r="N15" s="52"/>
      <c r="O15" s="43">
        <f>L15+SUMIFS(PrL,Site,U,AcGr3,"&gt;=300",AcGr3,"&lt;=499",ProdGr1,A)</f>
        <v>28104.930000000222</v>
      </c>
      <c r="P15" s="43">
        <f>L15+SUMIFS(PrB,Site,U,AcGr3,"&gt;=300",AcGr3,"&lt;=499",ProdGr1,A)</f>
        <v>56608.389999999985</v>
      </c>
      <c r="Q15" s="43">
        <f>N15+SUMIFS(YtdL,Site,U,AcGr3,"&gt;=300",AcGr3,"&lt;=499",ProdGr1,A)</f>
        <v>-1331329.379999998</v>
      </c>
      <c r="R15" s="43">
        <f>N15+SUMIFS(YtdB,Site,U,AcGr3,"&gt;=300",AcGr3,"&lt;=499",ProdGr1,A)</f>
        <v>0</v>
      </c>
    </row>
    <row r="16" spans="1:14" s="40" customFormat="1" ht="14.25" customHeight="1">
      <c r="A16" s="281"/>
      <c r="E16" s="42"/>
      <c r="F16" s="42"/>
      <c r="G16" s="42"/>
      <c r="H16" s="42"/>
      <c r="I16" s="42"/>
      <c r="J16" s="42"/>
      <c r="K16" s="53"/>
      <c r="L16" s="42"/>
      <c r="M16" s="42"/>
      <c r="N16" s="277"/>
    </row>
    <row r="17" spans="4:16" ht="14.25" customHeight="1">
      <c r="D17" s="251" t="s">
        <v>381</v>
      </c>
      <c r="E17" s="252" t="s">
        <v>379</v>
      </c>
      <c r="F17" s="253" t="s">
        <v>399</v>
      </c>
      <c r="G17" s="253" t="s">
        <v>611</v>
      </c>
      <c r="H17" s="250" t="s">
        <v>379</v>
      </c>
      <c r="I17" s="249" t="s">
        <v>399</v>
      </c>
      <c r="J17" s="249" t="s">
        <v>611</v>
      </c>
      <c r="K17" s="50"/>
      <c r="L17" s="42"/>
      <c r="M17" s="42"/>
      <c r="N17" s="277"/>
      <c r="P17" s="44"/>
    </row>
    <row r="18" spans="1:14" ht="14.25" customHeight="1">
      <c r="A18" s="280">
        <v>120</v>
      </c>
      <c r="B18" s="280">
        <v>129</v>
      </c>
      <c r="D18" s="258" t="s">
        <v>382</v>
      </c>
      <c r="E18" s="259">
        <f>-SUMIFS(PrT,Site,U,AcGr3,"&gt;=300",AcGr3,"&lt;=399",ProdGr3,"&gt;="&amp;A,ProdGr3,"&lt;="&amp;B)</f>
        <v>177511.59</v>
      </c>
      <c r="F18" s="260">
        <f>E18+SUMIFS(PrL,Site,U,AcGr3,"&gt;=300",AcGr3,"&lt;=399",ProdGr3,"&gt;="&amp;A,ProdGr3,"&lt;="&amp;B)</f>
        <v>8387.879999999976</v>
      </c>
      <c r="G18" s="260">
        <f>E18+SUMIFS(PrB,Site,U,AcGr3,"&gt;=300",AcGr3,"&lt;=399",ProdGr3,"&gt;="&amp;A,ProdGr3,"&lt;="&amp;B)</f>
        <v>177511.59</v>
      </c>
      <c r="H18" s="259">
        <f>-SUMIFS(YtdT,Site,U,AcGr3,"&gt;=300",AcGr3,"&lt;=399",ProdGr3,"&gt;="&amp;A,ProdGr3,"&lt;="&amp;B)</f>
        <v>2396541.18</v>
      </c>
      <c r="I18" s="260">
        <f>H18+SUMIFS(YtdL,Site,U,AcGr3,"&gt;=300",AcGr3,"&lt;=399",ProdGr3,"&gt;="&amp;A,ProdGr3,"&lt;="&amp;B)</f>
        <v>-222684.1700000004</v>
      </c>
      <c r="J18" s="260">
        <f>H18+SUMIFS(YtdB,Site,U,AcGr3,"&gt;=300",AcGr3,"&lt;=399",ProdGr3,"&gt;="&amp;A,ProdGr3,"&lt;="&amp;B)</f>
        <v>2396541.18</v>
      </c>
      <c r="K18" s="51"/>
      <c r="L18" s="42"/>
      <c r="M18" s="42"/>
      <c r="N18" s="277"/>
    </row>
    <row r="19" spans="1:14" ht="14.25" customHeight="1">
      <c r="A19" s="280">
        <v>130</v>
      </c>
      <c r="B19" s="280">
        <v>149</v>
      </c>
      <c r="D19" s="261" t="s">
        <v>383</v>
      </c>
      <c r="E19" s="262">
        <f>-SUMIFS(PrT,Site,U,AcGr3,"&gt;=300",AcGr3,"&lt;=399",ProdGr3,"&gt;="&amp;A,ProdGr3,"&lt;="&amp;B)</f>
        <v>78264.22</v>
      </c>
      <c r="F19" s="263">
        <f>E19+SUMIFS(PrL,Site,U,AcGr3,"&gt;=300",AcGr3,"&lt;=399",ProdGr3,"&gt;="&amp;A,ProdGr3,"&lt;="&amp;B)</f>
        <v>12058.470000000001</v>
      </c>
      <c r="G19" s="263">
        <f>E19+SUMIFS(PrB,Site,U,AcGr3,"&gt;=300",AcGr3,"&lt;=399",ProdGr3,"&gt;="&amp;A,ProdGr3,"&lt;="&amp;B)</f>
        <v>78264.22</v>
      </c>
      <c r="H19" s="262">
        <f>-SUMIFS(YtdT,Site,U,AcGr3,"&gt;=300",AcGr3,"&lt;=399",ProdGr3,"&gt;="&amp;A,ProdGr3,"&lt;="&amp;B)</f>
        <v>865661.4099999999</v>
      </c>
      <c r="I19" s="263">
        <f>H19+SUMIFS(YtdL,Site,U,AcGr3,"&gt;=300",AcGr3,"&lt;=399",ProdGr3,"&gt;="&amp;A,ProdGr3,"&lt;="&amp;B)</f>
        <v>-151980.28999999992</v>
      </c>
      <c r="J19" s="263">
        <f>H19+SUMIFS(YtdB,Site,U,AcGr3,"&gt;=300",AcGr3,"&lt;=399",ProdGr3,"&gt;="&amp;A,ProdGr3,"&lt;="&amp;B)</f>
        <v>865661.4099999999</v>
      </c>
      <c r="K19" s="51"/>
      <c r="L19" s="42"/>
      <c r="M19" s="42"/>
      <c r="N19" s="277"/>
    </row>
    <row r="20" spans="1:14" ht="14.25" customHeight="1">
      <c r="A20" s="280">
        <v>210</v>
      </c>
      <c r="B20" s="280">
        <v>219</v>
      </c>
      <c r="D20" s="261" t="s">
        <v>384</v>
      </c>
      <c r="E20" s="262">
        <f>-SUMIFS(PrT,Site,U,AcGr3,"&gt;=300",AcGr3,"&lt;=399",ProdGr3,"&gt;="&amp;A,ProdGr3,"&lt;="&amp;B)</f>
        <v>83488.81</v>
      </c>
      <c r="F20" s="263">
        <f>E20+SUMIFS(PrL,Site,U,AcGr3,"&gt;=300",AcGr3,"&lt;=399",ProdGr3,"&gt;="&amp;A,ProdGr3,"&lt;="&amp;B)</f>
        <v>-73361.88</v>
      </c>
      <c r="G20" s="263">
        <f>E20+SUMIFS(PrB,Site,U,AcGr3,"&gt;=300",AcGr3,"&lt;=399",ProdGr3,"&gt;="&amp;A,ProdGr3,"&lt;="&amp;B)</f>
        <v>83488.81</v>
      </c>
      <c r="H20" s="262">
        <f>-SUMIFS(YtdT,Site,U,AcGr3,"&gt;=300",AcGr3,"&lt;=399",ProdGr3,"&gt;="&amp;A,ProdGr3,"&lt;="&amp;B)</f>
        <v>1204630.77</v>
      </c>
      <c r="I20" s="263">
        <f>H20+SUMIFS(YtdL,Site,U,AcGr3,"&gt;=300",AcGr3,"&lt;=399",ProdGr3,"&gt;="&amp;A,ProdGr3,"&lt;="&amp;B)</f>
        <v>-251787.49</v>
      </c>
      <c r="J20" s="263">
        <f>H20+SUMIFS(YtdB,Site,U,AcGr3,"&gt;=300",AcGr3,"&lt;=399",ProdGr3,"&gt;="&amp;A,ProdGr3,"&lt;="&amp;B)</f>
        <v>1204630.77</v>
      </c>
      <c r="K20" s="51"/>
      <c r="L20" s="42"/>
      <c r="M20" s="42"/>
      <c r="N20" s="277"/>
    </row>
    <row r="21" spans="1:14" ht="14.25" customHeight="1">
      <c r="A21" s="280">
        <v>180</v>
      </c>
      <c r="B21" s="280">
        <v>189</v>
      </c>
      <c r="D21" s="261" t="s">
        <v>385</v>
      </c>
      <c r="E21" s="262">
        <f>-SUMIFS(PrT,Site,U,AcGr3,"&gt;=300",AcGr3,"&lt;=399",ProdGr3,"&gt;="&amp;A,ProdGr3,"&lt;="&amp;B)</f>
        <v>132471.2</v>
      </c>
      <c r="F21" s="263">
        <f>E21+SUMIFS(PrL,Site,U,AcGr3,"&gt;=300",AcGr3,"&lt;=399",ProdGr3,"&gt;="&amp;A,ProdGr3,"&lt;="&amp;B)</f>
        <v>-13845.599999999977</v>
      </c>
      <c r="G21" s="263">
        <f>E21+SUMIFS(PrB,Site,U,AcGr3,"&gt;=300",AcGr3,"&lt;=399",ProdGr3,"&gt;="&amp;A,ProdGr3,"&lt;="&amp;B)</f>
        <v>132471.2</v>
      </c>
      <c r="H21" s="262">
        <f>-SUMIFS(YtdT,Site,U,AcGr3,"&gt;=300",AcGr3,"&lt;=399",ProdGr3,"&gt;="&amp;A,ProdGr3,"&lt;="&amp;B)</f>
        <v>1556725.6</v>
      </c>
      <c r="I21" s="263">
        <f>H21+SUMIFS(YtdL,Site,U,AcGr3,"&gt;=300",AcGr3,"&lt;=399",ProdGr3,"&gt;="&amp;A,ProdGr3,"&lt;="&amp;B)</f>
        <v>-637592.7199999997</v>
      </c>
      <c r="J21" s="263">
        <f>H21+SUMIFS(YtdB,Site,U,AcGr3,"&gt;=300",AcGr3,"&lt;=399",ProdGr3,"&gt;="&amp;A,ProdGr3,"&lt;="&amp;B)</f>
        <v>1556725.6</v>
      </c>
      <c r="K21" s="51"/>
      <c r="L21" s="42"/>
      <c r="M21" s="42"/>
      <c r="N21" s="277"/>
    </row>
    <row r="22" spans="1:14" ht="14.25" customHeight="1">
      <c r="A22" s="280">
        <v>160</v>
      </c>
      <c r="B22" s="280">
        <v>169</v>
      </c>
      <c r="D22" s="261" t="s">
        <v>119</v>
      </c>
      <c r="E22" s="262">
        <f>-SUMIFS(PrT,Site,U,AcGr3,"&gt;=300",AcGr3,"&lt;=399",ProdGr3,"&gt;="&amp;A,ProdGr3,"&lt;="&amp;B)</f>
        <v>44193.549999999996</v>
      </c>
      <c r="F22" s="263">
        <f>E22+SUMIFS(PrL,Site,U,AcGr3,"&gt;=300",AcGr3,"&lt;=399",ProdGr3,"&gt;="&amp;A,ProdGr3,"&lt;="&amp;B)</f>
        <v>-9159.86</v>
      </c>
      <c r="G22" s="263">
        <f>E22+SUMIFS(PrB,Site,U,AcGr3,"&gt;=300",AcGr3,"&lt;=399",ProdGr3,"&gt;="&amp;A,ProdGr3,"&lt;="&amp;B)</f>
        <v>44193.549999999996</v>
      </c>
      <c r="H22" s="264">
        <f>-SUMIFS(YtdT,Site,U,AcGr3,"&gt;=300",AcGr3,"&lt;=399",ProdGr3,"&gt;="&amp;A,ProdGr3,"&lt;="&amp;B)</f>
        <v>1092260.3</v>
      </c>
      <c r="I22" s="263">
        <f>H22+SUMIFS(YtdL,Site,U,AcGr3,"&gt;=300",AcGr3,"&lt;=399",ProdGr3,"&gt;="&amp;A,ProdGr3,"&lt;="&amp;B)</f>
        <v>-489308.02</v>
      </c>
      <c r="J22" s="263">
        <f>H22+SUMIFS(YtdB,Site,U,AcGr3,"&gt;=300",AcGr3,"&lt;=399",ProdGr3,"&gt;="&amp;A,ProdGr3,"&lt;="&amp;B)</f>
        <v>1092260.3</v>
      </c>
      <c r="K22" s="51"/>
      <c r="L22" s="42"/>
      <c r="M22" s="42"/>
      <c r="N22" s="277"/>
    </row>
    <row r="23" spans="1:14" ht="14.25" customHeight="1">
      <c r="A23" s="280"/>
      <c r="B23" s="280"/>
      <c r="D23" s="265" t="s">
        <v>386</v>
      </c>
      <c r="E23" s="285">
        <f>E24-SUM(E18:E22)</f>
        <v>219005.65000000026</v>
      </c>
      <c r="F23" s="267">
        <f aca="true" t="shared" si="8" ref="F23:G23">F24-SUM(F18:F22)</f>
        <v>-20490.1599999999</v>
      </c>
      <c r="G23" s="267">
        <f t="shared" si="8"/>
        <v>219005.65000000026</v>
      </c>
      <c r="H23" s="266">
        <f>H24-SUM(H18:H22)</f>
        <v>2413328.6800000006</v>
      </c>
      <c r="I23" s="267">
        <f aca="true" t="shared" si="9" ref="I23">I24-SUM(I18:I22)</f>
        <v>-531138.8999999962</v>
      </c>
      <c r="J23" s="267">
        <f aca="true" t="shared" si="10" ref="J23">J24-SUM(J18:J22)</f>
        <v>2413328.6800000006</v>
      </c>
      <c r="K23" s="51"/>
      <c r="L23" s="42"/>
      <c r="M23" s="42"/>
      <c r="N23" s="277"/>
    </row>
    <row r="24" spans="1:14" ht="14.25" customHeight="1">
      <c r="A24" s="280">
        <v>40</v>
      </c>
      <c r="B24" s="280">
        <v>49</v>
      </c>
      <c r="D24" s="254" t="s">
        <v>387</v>
      </c>
      <c r="E24" s="257">
        <f>-SUMIFS(PrT,Site,U,AcGr3,"&gt;=300",AcGr3,"&lt;=399",ProdGr1,"&gt;="&amp;A,ProdGr1,"&lt;="&amp;B)</f>
        <v>734935.0200000003</v>
      </c>
      <c r="F24" s="255">
        <f>E24+SUMIFS(PrL,Site,U,AcGr3,"&gt;=300",AcGr3,"&lt;=399",ProdGr1,"&gt;="&amp;A,ProdGr1,"&lt;="&amp;B)</f>
        <v>-96411.1499999999</v>
      </c>
      <c r="G24" s="255">
        <f>E24+SUMIFS(PrB,Site,U,AcGr3,"&gt;=300",AcGr3,"&lt;=399",ProdGr1,"&gt;="&amp;A,ProdGr1,"&lt;="&amp;B)</f>
        <v>734935.0200000003</v>
      </c>
      <c r="H24" s="256">
        <f>-SUMIFS(YtdT,Site,U,AcGr3,"&gt;=300",AcGr3,"&lt;=399",ProdGr1,"&gt;="&amp;A,ProdGr1,"&lt;="&amp;B)</f>
        <v>9529147.94</v>
      </c>
      <c r="I24" s="248">
        <f>H24+SUMIFS(YtdL,Site,U,AcGr3,"&gt;=300",AcGr3,"&lt;=399",ProdGr1,"&gt;="&amp;A,ProdGr1,"&lt;="&amp;B)</f>
        <v>-2284491.589999996</v>
      </c>
      <c r="J24" s="248">
        <f>H24+SUMIFS(YtdB,Site,U,AcGr3,"&gt;=300",AcGr3,"&lt;=399",ProdGr1,"&gt;="&amp;A,ProdGr1,"&lt;="&amp;B)</f>
        <v>9529147.94</v>
      </c>
      <c r="K24" s="51"/>
      <c r="L24" s="42"/>
      <c r="M24" s="42"/>
      <c r="N24" s="277"/>
    </row>
    <row r="25" spans="4:19" ht="14.25" customHeight="1">
      <c r="D25" s="40"/>
      <c r="E25" s="42"/>
      <c r="F25" s="42"/>
      <c r="G25" s="42"/>
      <c r="H25" s="42"/>
      <c r="I25" s="42"/>
      <c r="J25" s="42"/>
      <c r="K25" s="52"/>
      <c r="L25" s="42"/>
      <c r="M25" s="53"/>
      <c r="N25" s="53"/>
      <c r="O25" s="48"/>
      <c r="P25" s="48"/>
      <c r="Q25" s="48"/>
      <c r="R25" s="48"/>
      <c r="S25" s="48"/>
    </row>
    <row r="26" spans="1:19" s="40" customFormat="1" ht="14.25" customHeight="1">
      <c r="A26" s="281"/>
      <c r="D26" s="251" t="s">
        <v>388</v>
      </c>
      <c r="E26" s="252" t="s">
        <v>379</v>
      </c>
      <c r="F26" s="253" t="s">
        <v>399</v>
      </c>
      <c r="G26" s="253" t="s">
        <v>611</v>
      </c>
      <c r="H26" s="250" t="s">
        <v>379</v>
      </c>
      <c r="I26" s="249" t="s">
        <v>399</v>
      </c>
      <c r="J26" s="249" t="s">
        <v>611</v>
      </c>
      <c r="K26" s="53"/>
      <c r="L26" s="42"/>
      <c r="M26" s="53"/>
      <c r="N26" s="53"/>
      <c r="O26" s="48"/>
      <c r="P26" s="48"/>
      <c r="Q26" s="48"/>
      <c r="R26" s="48"/>
      <c r="S26" s="48"/>
    </row>
    <row r="27" spans="1:19" ht="14.25" customHeight="1">
      <c r="A27" s="280">
        <v>120</v>
      </c>
      <c r="B27" s="280">
        <v>129</v>
      </c>
      <c r="D27" s="258" t="s">
        <v>382</v>
      </c>
      <c r="E27" s="259">
        <f>-SUMIFS(PrT,Site,U,AcGr3,"&gt;=300",AcGr3,"&lt;=499",ProdGr3,"&gt;="&amp;A,ProdGr3,"&lt;="&amp;B)</f>
        <v>64177.240000000005</v>
      </c>
      <c r="F27" s="260">
        <f>E27+SUMIFS(PrL,Site,U,AcGr3,"&gt;=300",AcGr3,"&lt;=499",ProdGr3,"&gt;="&amp;A,ProdGr3,"&lt;="&amp;B)</f>
        <v>-58135.43000000001</v>
      </c>
      <c r="G27" s="260">
        <f>E27+SUMIFS(PrB,Site,U,AcGr3,"&gt;=300",AcGr3,"&lt;=499",ProdGr3,"&gt;="&amp;A,ProdGr3,"&lt;="&amp;B)</f>
        <v>64177.240000000005</v>
      </c>
      <c r="H27" s="259">
        <f>-SUMIFS(YtdT,Site,U,AcGr3,"&gt;=300",AcGr3,"&lt;=499",ProdGr3,"&gt;="&amp;A,ProdGr3,"&lt;="&amp;B)</f>
        <v>1257732.52</v>
      </c>
      <c r="I27" s="260">
        <f>H27+SUMIFS(YtdL,Site,U,AcGr3,"&gt;=300",AcGr3,"&lt;=499",ProdGr3,"&gt;="&amp;A,ProdGr3,"&lt;="&amp;B)</f>
        <v>-140568.23000000068</v>
      </c>
      <c r="J27" s="260">
        <f>H27+SUMIFS(YtdB,Site,U,AcGr3,"&gt;=300",AcGr3,"&lt;=499",ProdGr3,"&gt;="&amp;A,ProdGr3,"&lt;="&amp;B)</f>
        <v>1257732.52</v>
      </c>
      <c r="K27" s="50"/>
      <c r="L27" s="42"/>
      <c r="M27" s="53"/>
      <c r="N27" s="53"/>
      <c r="O27" s="48"/>
      <c r="P27" s="48"/>
      <c r="Q27" s="48"/>
      <c r="R27" s="48"/>
      <c r="S27" s="48"/>
    </row>
    <row r="28" spans="1:19" ht="14.25" customHeight="1">
      <c r="A28" s="280">
        <v>130</v>
      </c>
      <c r="B28" s="280">
        <v>149</v>
      </c>
      <c r="D28" s="261" t="s">
        <v>383</v>
      </c>
      <c r="E28" s="262">
        <f>-SUMIFS(PrT,Site,U,AcGr3,"&gt;=300",AcGr3,"&lt;=499",ProdGr3,"&gt;="&amp;A,ProdGr3,"&lt;="&amp;B)</f>
        <v>31131.9</v>
      </c>
      <c r="F28" s="263">
        <f>E28+SUMIFS(PrL,Site,U,AcGr3,"&gt;=300",AcGr3,"&lt;=499",ProdGr3,"&gt;="&amp;A,ProdGr3,"&lt;="&amp;B)</f>
        <v>-48334.36999999999</v>
      </c>
      <c r="G28" s="263">
        <f>E28+SUMIFS(PrB,Site,U,AcGr3,"&gt;=300",AcGr3,"&lt;=499",ProdGr3,"&gt;="&amp;A,ProdGr3,"&lt;="&amp;B)</f>
        <v>31131.9</v>
      </c>
      <c r="H28" s="262">
        <f>-SUMIFS(YtdT,Site,U,AcGr3,"&gt;=300",AcGr3,"&lt;=499",ProdGr3,"&gt;="&amp;A,ProdGr3,"&lt;="&amp;B)</f>
        <v>431117.7099999998</v>
      </c>
      <c r="I28" s="263">
        <f>H28+SUMIFS(YtdL,Site,U,AcGr3,"&gt;=300",AcGr3,"&lt;=499",ProdGr3,"&gt;="&amp;A,ProdGr3,"&lt;="&amp;B)</f>
        <v>-35438.07999999984</v>
      </c>
      <c r="J28" s="263">
        <f>H28+SUMIFS(YtdB,Site,U,AcGr3,"&gt;=300",AcGr3,"&lt;=499",ProdGr3,"&gt;="&amp;A,ProdGr3,"&lt;="&amp;B)</f>
        <v>431117.7099999998</v>
      </c>
      <c r="K28" s="51"/>
      <c r="L28" s="42"/>
      <c r="M28" s="53"/>
      <c r="N28" s="53"/>
      <c r="O28" s="48"/>
      <c r="P28" s="48"/>
      <c r="Q28" s="48"/>
      <c r="R28" s="48"/>
      <c r="S28" s="48"/>
    </row>
    <row r="29" spans="1:19" ht="14.25" customHeight="1">
      <c r="A29" s="280">
        <v>210</v>
      </c>
      <c r="B29" s="280">
        <v>219</v>
      </c>
      <c r="D29" s="261" t="s">
        <v>384</v>
      </c>
      <c r="E29" s="262">
        <f>-SUMIFS(PrT,Site,U,AcGr3,"&gt;=300",AcGr3,"&lt;=499",ProdGr3,"&gt;="&amp;A,ProdGr3,"&lt;="&amp;B)</f>
        <v>106183.62</v>
      </c>
      <c r="F29" s="263">
        <f>E29+SUMIFS(PrL,Site,U,AcGr3,"&gt;=300",AcGr3,"&lt;=499",ProdGr3,"&gt;="&amp;A,ProdGr3,"&lt;="&amp;B)</f>
        <v>-43196.18000000002</v>
      </c>
      <c r="G29" s="263">
        <f>E29+SUMIFS(PrB,Site,U,AcGr3,"&gt;=300",AcGr3,"&lt;=499",ProdGr3,"&gt;="&amp;A,ProdGr3,"&lt;="&amp;B)</f>
        <v>106183.62</v>
      </c>
      <c r="H29" s="262">
        <f>-SUMIFS(YtdT,Site,U,AcGr3,"&gt;=300",AcGr3,"&lt;=499",ProdGr3,"&gt;="&amp;A,ProdGr3,"&lt;="&amp;B)</f>
        <v>992781.97</v>
      </c>
      <c r="I29" s="263">
        <f>H29+SUMIFS(YtdL,Site,U,AcGr3,"&gt;=300",AcGr3,"&lt;=499",ProdGr3,"&gt;="&amp;A,ProdGr3,"&lt;="&amp;B)</f>
        <v>-225576.64000000013</v>
      </c>
      <c r="J29" s="263">
        <f>H29+SUMIFS(YtdB,Site,U,AcGr3,"&gt;=300",AcGr3,"&lt;=499",ProdGr3,"&gt;="&amp;A,ProdGr3,"&lt;="&amp;B)</f>
        <v>992781.97</v>
      </c>
      <c r="K29" s="51"/>
      <c r="L29" s="42"/>
      <c r="M29" s="53"/>
      <c r="N29" s="53"/>
      <c r="O29" s="16"/>
      <c r="P29" s="291"/>
      <c r="Q29" s="16"/>
      <c r="R29" s="16"/>
      <c r="S29" s="17"/>
    </row>
    <row r="30" spans="1:19" ht="14.25" customHeight="1">
      <c r="A30" s="280">
        <v>180</v>
      </c>
      <c r="B30" s="280">
        <v>189</v>
      </c>
      <c r="D30" s="261" t="s">
        <v>385</v>
      </c>
      <c r="E30" s="262">
        <f>-SUMIFS(PrT,Site,U,AcGr3,"&gt;=300",AcGr3,"&lt;=499",ProdGr3,"&gt;="&amp;A,ProdGr3,"&lt;="&amp;B)</f>
        <v>29606.21000000001</v>
      </c>
      <c r="F30" s="263">
        <f>E30+SUMIFS(PrL,Site,U,AcGr3,"&gt;=300",AcGr3,"&lt;=499",ProdGr3,"&gt;="&amp;A,ProdGr3,"&lt;="&amp;B)</f>
        <v>-15281.579999999969</v>
      </c>
      <c r="G30" s="263">
        <f>E30+SUMIFS(PrB,Site,U,AcGr3,"&gt;=300",AcGr3,"&lt;=499",ProdGr3,"&gt;="&amp;A,ProdGr3,"&lt;="&amp;B)</f>
        <v>29606.21000000001</v>
      </c>
      <c r="H30" s="262">
        <f>-SUMIFS(YtdT,Site,U,AcGr3,"&gt;=300",AcGr3,"&lt;=499",ProdGr3,"&gt;="&amp;A,ProdGr3,"&lt;="&amp;B)</f>
        <v>476797.72000000015</v>
      </c>
      <c r="I30" s="263">
        <f>H30+SUMIFS(YtdL,Site,U,AcGr3,"&gt;=300",AcGr3,"&lt;=499",ProdGr3,"&gt;="&amp;A,ProdGr3,"&lt;="&amp;B)</f>
        <v>-174867.94999999978</v>
      </c>
      <c r="J30" s="263">
        <f>H30+SUMIFS(YtdB,Site,U,AcGr3,"&gt;=300",AcGr3,"&lt;=499",ProdGr3,"&gt;="&amp;A,ProdGr3,"&lt;="&amp;B)</f>
        <v>476797.72000000015</v>
      </c>
      <c r="K30" s="51"/>
      <c r="L30" s="42"/>
      <c r="M30" s="53"/>
      <c r="N30" s="53"/>
      <c r="O30" s="16"/>
      <c r="P30" s="291"/>
      <c r="Q30" s="16"/>
      <c r="R30" s="16"/>
      <c r="S30" s="17"/>
    </row>
    <row r="31" spans="1:19" ht="14.25" customHeight="1">
      <c r="A31" s="280">
        <v>160</v>
      </c>
      <c r="B31" s="280">
        <v>169</v>
      </c>
      <c r="D31" s="261" t="s">
        <v>119</v>
      </c>
      <c r="E31" s="264">
        <f>-SUMIFS(PrT,Site,U,AcGr3,"&gt;=300",AcGr3,"&lt;=499",ProdGr3,"&gt;="&amp;A,ProdGr3,"&lt;="&amp;B)</f>
        <v>6506.700000000001</v>
      </c>
      <c r="F31" s="263">
        <f>E31+SUMIFS(PrL,Site,U,AcGr3,"&gt;=300",AcGr3,"&lt;=499",ProdGr3,"&gt;="&amp;A,ProdGr3,"&lt;="&amp;B)</f>
        <v>-17674.129999999972</v>
      </c>
      <c r="G31" s="263">
        <f>E31+SUMIFS(PrB,Site,U,AcGr3,"&gt;=300",AcGr3,"&lt;=499",ProdGr3,"&gt;="&amp;A,ProdGr3,"&lt;="&amp;B)</f>
        <v>6506.700000000001</v>
      </c>
      <c r="H31" s="264">
        <f>-SUMIFS(YtdT,Site,U,AcGr3,"&gt;=300",AcGr3,"&lt;=499",ProdGr3,"&gt;="&amp;A,ProdGr3,"&lt;="&amp;B)</f>
        <v>542929.4199999999</v>
      </c>
      <c r="I31" s="263">
        <f>H31+SUMIFS(YtdL,Site,U,AcGr3,"&gt;=300",AcGr3,"&lt;=499",ProdGr3,"&gt;="&amp;A,ProdGr3,"&lt;="&amp;B)</f>
        <v>-161499.87000000034</v>
      </c>
      <c r="J31" s="263">
        <f>H31+SUMIFS(YtdB,Site,U,AcGr3,"&gt;=300",AcGr3,"&lt;=499",ProdGr3,"&gt;="&amp;A,ProdGr3,"&lt;="&amp;B)</f>
        <v>542929.4199999999</v>
      </c>
      <c r="K31" s="51"/>
      <c r="L31" s="42"/>
      <c r="M31" s="53"/>
      <c r="N31" s="53"/>
      <c r="O31" s="16"/>
      <c r="P31" s="291"/>
      <c r="Q31" s="16"/>
      <c r="R31" s="16"/>
      <c r="S31" s="17"/>
    </row>
    <row r="32" spans="1:19" ht="14.25" customHeight="1">
      <c r="A32" s="280"/>
      <c r="B32" s="280"/>
      <c r="D32" s="265" t="s">
        <v>386</v>
      </c>
      <c r="E32" s="266">
        <f>E33-SUM(E27:E31)</f>
        <v>115080.21000000025</v>
      </c>
      <c r="F32" s="267">
        <f aca="true" t="shared" si="11" ref="F32">F33-SUM(F27:F31)</f>
        <v>127880.33000000048</v>
      </c>
      <c r="G32" s="267">
        <f aca="true" t="shared" si="12" ref="G32">G33-SUM(G27:G31)</f>
        <v>115080.21000000025</v>
      </c>
      <c r="H32" s="266">
        <f>H33-SUM(H27:H31)</f>
        <v>1081115.7699999986</v>
      </c>
      <c r="I32" s="267">
        <f aca="true" t="shared" si="13" ref="I32">I33-SUM(I27:I31)</f>
        <v>-166246.1199999943</v>
      </c>
      <c r="J32" s="267">
        <f aca="true" t="shared" si="14" ref="J32">J33-SUM(J27:J31)</f>
        <v>1081115.7699999986</v>
      </c>
      <c r="K32" s="51"/>
      <c r="L32" s="42"/>
      <c r="M32" s="53"/>
      <c r="N32" s="53"/>
      <c r="O32" s="16"/>
      <c r="P32" s="291"/>
      <c r="Q32" s="16"/>
      <c r="R32" s="16"/>
      <c r="S32" s="17"/>
    </row>
    <row r="33" spans="1:19" ht="14.25" customHeight="1">
      <c r="A33" s="280">
        <v>40</v>
      </c>
      <c r="B33" s="280">
        <v>49</v>
      </c>
      <c r="D33" s="254" t="s">
        <v>389</v>
      </c>
      <c r="E33" s="257">
        <f>-SUMIFS(PrT,Site,U,AcGr3,"&gt;=300",AcGr3,"&lt;=499",ProdGr1,"&gt;="&amp;A,ProdGr1,"&lt;="&amp;B)</f>
        <v>352685.8800000003</v>
      </c>
      <c r="F33" s="255">
        <f>E33+SUMIFS(PrL,Site,U,AcGr3,"&gt;=300",AcGr3,"&lt;=499",ProdGr1,"&gt;="&amp;A,ProdGr1,"&lt;="&amp;B)</f>
        <v>-54741.35999999946</v>
      </c>
      <c r="G33" s="255">
        <f>E33+SUMIFS(PrB,Site,U,AcGr3,"&gt;=300",AcGr3,"&lt;=499",ProdGr1,"&gt;="&amp;A,ProdGr1,"&lt;="&amp;B)</f>
        <v>352685.8800000003</v>
      </c>
      <c r="H33" s="256">
        <f>-SUMIFS(YtdT,Site,U,AcGr3,"&gt;=300",AcGr3,"&lt;=499",ProdGr1,"&gt;="&amp;A,ProdGr1,"&lt;="&amp;B)</f>
        <v>4782475.1099999985</v>
      </c>
      <c r="I33" s="248">
        <f>H33+SUMIFS(YtdL,Site,U,AcGr3,"&gt;=300",AcGr3,"&lt;=499",ProdGr1,"&gt;="&amp;A,ProdGr1,"&lt;="&amp;B)</f>
        <v>-904196.889999995</v>
      </c>
      <c r="J33" s="248">
        <f>H33+SUMIFS(YtdB,Site,U,AcGr3,"&gt;=300",AcGr3,"&lt;=499",ProdGr1,"&gt;="&amp;A,ProdGr1,"&lt;="&amp;B)</f>
        <v>4782475.1099999985</v>
      </c>
      <c r="K33" s="51"/>
      <c r="L33" s="42"/>
      <c r="M33" s="53"/>
      <c r="N33" s="53"/>
      <c r="O33" s="16"/>
      <c r="P33" s="291"/>
      <c r="Q33" s="16"/>
      <c r="R33" s="16"/>
      <c r="S33" s="17"/>
    </row>
    <row r="34" spans="4:19" ht="14.25" customHeight="1">
      <c r="D34" s="40"/>
      <c r="E34" s="40"/>
      <c r="F34" s="40"/>
      <c r="G34" s="40"/>
      <c r="H34" s="40"/>
      <c r="I34" s="40"/>
      <c r="J34" s="40"/>
      <c r="K34" s="54"/>
      <c r="L34" s="45"/>
      <c r="M34" s="53"/>
      <c r="N34" s="53"/>
      <c r="O34" s="16"/>
      <c r="P34" s="291"/>
      <c r="Q34" s="16"/>
      <c r="R34" s="16"/>
      <c r="S34" s="17"/>
    </row>
    <row r="35" spans="1:19" s="40" customFormat="1" ht="14.25" customHeight="1">
      <c r="A35" s="281"/>
      <c r="D35" s="251" t="s">
        <v>390</v>
      </c>
      <c r="E35" s="252" t="s">
        <v>379</v>
      </c>
      <c r="F35" s="253" t="s">
        <v>399</v>
      </c>
      <c r="G35" s="253" t="s">
        <v>611</v>
      </c>
      <c r="H35" s="250" t="s">
        <v>379</v>
      </c>
      <c r="I35" s="249" t="s">
        <v>399</v>
      </c>
      <c r="J35" s="249" t="s">
        <v>611</v>
      </c>
      <c r="K35" s="52"/>
      <c r="M35" s="48"/>
      <c r="N35" s="48"/>
      <c r="O35" s="16"/>
      <c r="P35" s="291"/>
      <c r="Q35" s="16"/>
      <c r="R35" s="16"/>
      <c r="S35" s="17"/>
    </row>
    <row r="36" spans="1:19" ht="14.25" customHeight="1">
      <c r="A36" s="280">
        <v>500</v>
      </c>
      <c r="B36" s="280">
        <v>599</v>
      </c>
      <c r="D36" s="258" t="s">
        <v>86</v>
      </c>
      <c r="E36" s="259">
        <f>SUMIFS(PrT,Site,U,AcGr3,"&gt;="&amp;A,AcGr3,"&lt;="&amp;B)</f>
        <v>319437.29</v>
      </c>
      <c r="F36" s="260">
        <f>E36-SUMIFS(PrL,Site,U,AcGr3,"&gt;="&amp;A,AcGr3,"&lt;="&amp;B)</f>
        <v>5622.390000000014</v>
      </c>
      <c r="G36" s="260">
        <f>E36-SUMIFS(PrB,Site,U,AcGr3,"&gt;="&amp;A,AcGr3,"&lt;="&amp;B)</f>
        <v>319437.29</v>
      </c>
      <c r="H36" s="259">
        <f>SUMIFS(YtdT,Site,U,AcGr3,"&gt;="&amp;A,AcGr3,"&lt;="&amp;B)</f>
        <v>3278977.34</v>
      </c>
      <c r="I36" s="260">
        <f>H36-SUMIFS(YtdL,Site,U,AcGr3,"&gt;="&amp;A,AcGr3,"&lt;="&amp;B)</f>
        <v>-311424.4600000004</v>
      </c>
      <c r="J36" s="260">
        <f>H36-SUMIFS(YtdB,Site,U,AcGr3,"&gt;="&amp;A,AcGr3,"&lt;="&amp;B)</f>
        <v>3278977.34</v>
      </c>
      <c r="K36" s="48"/>
      <c r="L36" s="40"/>
      <c r="M36" s="48"/>
      <c r="N36" s="48"/>
      <c r="O36" s="16"/>
      <c r="P36" s="291"/>
      <c r="Q36" s="16"/>
      <c r="R36" s="16"/>
      <c r="S36" s="17"/>
    </row>
    <row r="37" spans="1:19" ht="14.25" customHeight="1">
      <c r="A37" s="280">
        <v>621</v>
      </c>
      <c r="B37" s="280">
        <v>622</v>
      </c>
      <c r="D37" s="261" t="str">
        <f>IF(COUNTIF(AcGr3,622)&gt;0,"Royalty","Leie")</f>
        <v>Leie</v>
      </c>
      <c r="E37" s="262">
        <f>SUMIFS(PrT,Site,U,AcGr3,"&gt;="&amp;A,AcGr3,"&lt;="&amp;B)</f>
        <v>55600</v>
      </c>
      <c r="F37" s="263">
        <f>E37-SUMIFS(PrL,Site,U,AcGr3,"&gt;="&amp;A,AcGr3,"&lt;="&amp;B)</f>
        <v>2775</v>
      </c>
      <c r="G37" s="263">
        <f>E37-SUMIFS(PrB,Site,U,AcGr3,"&gt;="&amp;A,AcGr3,"&lt;="&amp;B)</f>
        <v>55600</v>
      </c>
      <c r="H37" s="262">
        <f>SUMIFS(YtdT,Site,U,AcGr3,"&gt;="&amp;A,AcGr3,"&lt;="&amp;B)</f>
        <v>667200</v>
      </c>
      <c r="I37" s="263">
        <f>H37-SUMIFS(YtdL,Site,U,AcGr3,"&gt;="&amp;A,AcGr3,"&lt;="&amp;B)</f>
        <v>33300</v>
      </c>
      <c r="J37" s="263">
        <f>H37-SUMIFS(YtdB,Site,U,AcGr3,"&gt;="&amp;A,AcGr3,"&lt;="&amp;B)</f>
        <v>667200</v>
      </c>
      <c r="K37" s="50"/>
      <c r="L37" s="40"/>
      <c r="M37" s="48"/>
      <c r="N37" s="48"/>
      <c r="O37" s="16"/>
      <c r="P37" s="291"/>
      <c r="Q37" s="16"/>
      <c r="R37" s="16"/>
      <c r="S37" s="17"/>
    </row>
    <row r="38" spans="1:19" ht="14.25" customHeight="1">
      <c r="A38" s="280">
        <v>623</v>
      </c>
      <c r="B38" s="280">
        <v>623</v>
      </c>
      <c r="D38" s="261" t="s">
        <v>122</v>
      </c>
      <c r="E38" s="262">
        <f>SUMIFS(PrT,Site,U,AcGr3,"&gt;="&amp;A,AcGr3,"&lt;="&amp;B)</f>
        <v>0</v>
      </c>
      <c r="F38" s="263">
        <f>E38-SUMIFS(PrL,Site,U,AcGr3,"&gt;="&amp;A,AcGr3,"&lt;="&amp;B)</f>
        <v>0</v>
      </c>
      <c r="G38" s="263">
        <f>E38-SUMIFS(PrB,Site,U,AcGr3,"&gt;="&amp;A,AcGr3,"&lt;="&amp;B)</f>
        <v>0</v>
      </c>
      <c r="H38" s="262">
        <f>SUMIFS(YtdT,Site,U,AcGr3,"&gt;="&amp;A,AcGr3,"&lt;="&amp;B)</f>
        <v>0</v>
      </c>
      <c r="I38" s="263">
        <f>H38-SUMIFS(YtdL,Site,U,AcGr3,"&gt;="&amp;A,AcGr3,"&lt;="&amp;B)</f>
        <v>0</v>
      </c>
      <c r="J38" s="263">
        <f>H38-SUMIFS(YtdB,Site,U,AcGr3,"&gt;="&amp;A,AcGr3,"&lt;="&amp;B)</f>
        <v>0</v>
      </c>
      <c r="K38" s="51"/>
      <c r="L38" s="40"/>
      <c r="M38" s="48"/>
      <c r="N38" s="48"/>
      <c r="O38" s="16"/>
      <c r="P38" s="291"/>
      <c r="Q38" s="16"/>
      <c r="R38" s="16"/>
      <c r="S38" s="17"/>
    </row>
    <row r="39" spans="1:19" ht="14.25" customHeight="1">
      <c r="A39" s="280">
        <v>600</v>
      </c>
      <c r="B39" s="280">
        <v>789</v>
      </c>
      <c r="D39" s="261" t="s">
        <v>87</v>
      </c>
      <c r="E39" s="262">
        <f>SUMIFS(PrT,Site,U,AcGr3,"&gt;="&amp;A,AcGr3,"&lt;="&amp;B)-SUM(E37:E38)</f>
        <v>144536.11000000004</v>
      </c>
      <c r="F39" s="263">
        <f>E39-SUMIFS(PrL,Site,U,AcGr3,"&gt;="&amp;A,AcGr3,"&lt;="&amp;B)+SUM(E37:E38)-SUM(F37:F38)</f>
        <v>-7468.9499999999825</v>
      </c>
      <c r="G39" s="263">
        <f>E39-SUMIFS(PrB,Site,U,AcGr3,"&gt;="&amp;A,AcGr3,"&lt;="&amp;B)+SUM(E37:E38)-SUM(G37:G38)</f>
        <v>144536.11000000004</v>
      </c>
      <c r="H39" s="262">
        <f>SUMIFS(YtdT,Site,U,AcGr3,"&gt;="&amp;A,AcGr3,"&lt;="&amp;B)-SUM(H37:H38)</f>
        <v>1506252.2399999998</v>
      </c>
      <c r="I39" s="263">
        <f>H39-SUMIFS(YtdL,Site,U,AcGr3,"&gt;="&amp;A,AcGr3,"&lt;="&amp;B)+SUM(H37:H38)-SUM(I37:I38)</f>
        <v>198355.73999999953</v>
      </c>
      <c r="J39" s="263">
        <f>H39-SUMIFS(YtdB,Site,U,AcGr3,"&gt;="&amp;A,AcGr3,"&lt;="&amp;B)+SUM(H37:H38)-SUM(J37:J38)</f>
        <v>1506252.2399999998</v>
      </c>
      <c r="K39" s="51"/>
      <c r="L39" s="40"/>
      <c r="M39" s="48"/>
      <c r="N39" s="48"/>
      <c r="O39" s="16"/>
      <c r="P39" s="16"/>
      <c r="Q39" s="16"/>
      <c r="R39" s="288"/>
      <c r="S39" s="18"/>
    </row>
    <row r="40" spans="1:19" ht="14.25" customHeight="1">
      <c r="A40" s="280">
        <v>790</v>
      </c>
      <c r="B40" s="280">
        <v>790</v>
      </c>
      <c r="D40" s="261" t="s">
        <v>73</v>
      </c>
      <c r="E40" s="262">
        <f>SUMIFS(PrT,Site,U,AcGr3,"&gt;="&amp;A,AcGr3,"&lt;="&amp;B)</f>
        <v>20023.08</v>
      </c>
      <c r="F40" s="263">
        <f>E40-SUMIFS(PrL,Site,U,AcGr3,"&gt;="&amp;A,AcGr3,"&lt;="&amp;B)</f>
        <v>-69514.31999999999</v>
      </c>
      <c r="G40" s="263">
        <f>E40-SUMIFS(PrB,Site,U,AcGr3,"&gt;="&amp;A,AcGr3,"&lt;="&amp;B)</f>
        <v>20023.08</v>
      </c>
      <c r="H40" s="262">
        <f>SUMIFS(YtdT,Site,U,AcGr3,"&gt;="&amp;A,AcGr3,"&lt;="&amp;B)</f>
        <v>189104.87</v>
      </c>
      <c r="I40" s="263">
        <f>H40-SUMIFS(YtdL,Site,U,AcGr3,"&gt;="&amp;A,AcGr3,"&lt;="&amp;B)</f>
        <v>38504.869999999995</v>
      </c>
      <c r="J40" s="263">
        <f>H40-SUMIFS(YtdB,Site,U,AcGr3,"&gt;="&amp;A,AcGr3,"&lt;="&amp;B)</f>
        <v>189104.87</v>
      </c>
      <c r="K40" s="51"/>
      <c r="L40" s="40"/>
      <c r="M40" s="48"/>
      <c r="N40" s="48"/>
      <c r="O40" s="16"/>
      <c r="P40" s="291"/>
      <c r="Q40" s="16"/>
      <c r="R40" s="16"/>
      <c r="S40" s="17"/>
    </row>
    <row r="41" spans="1:19" ht="14.25" customHeight="1">
      <c r="A41" s="280">
        <v>800</v>
      </c>
      <c r="B41" s="280">
        <v>819</v>
      </c>
      <c r="D41" s="261" t="s">
        <v>146</v>
      </c>
      <c r="E41" s="264">
        <f>SUMIFS(PrT,Site,U,AcGr3,"&gt;="&amp;A,AcGr3,"&lt;="&amp;B)</f>
        <v>-2864.58</v>
      </c>
      <c r="F41" s="263">
        <f>E41-SUMIFS(PrL,Site,U,AcGr3,"&gt;="&amp;A,AcGr3,"&lt;="&amp;B)</f>
        <v>41353.42</v>
      </c>
      <c r="G41" s="263">
        <f>E41-SUMIFS(PrB,Site,U,AcGr3,"&gt;="&amp;A,AcGr3,"&lt;="&amp;B)</f>
        <v>-2864.58</v>
      </c>
      <c r="H41" s="264">
        <f>SUMIFS(YtdT,Site,U,AcGr3,"&gt;="&amp;A,AcGr3,"&lt;="&amp;B)</f>
        <v>-6559.1</v>
      </c>
      <c r="I41" s="263">
        <f>H41-SUMIFS(YtdL,Site,U,AcGr3,"&gt;="&amp;A,AcGr3,"&lt;="&amp;B)</f>
        <v>42946.6</v>
      </c>
      <c r="J41" s="263">
        <f>H41-SUMIFS(YtdB,Site,U,AcGr3,"&gt;="&amp;A,AcGr3,"&lt;="&amp;B)</f>
        <v>-6559.1</v>
      </c>
      <c r="K41" s="51"/>
      <c r="L41" s="40"/>
      <c r="M41" s="48"/>
      <c r="N41" s="48"/>
      <c r="O41" s="16"/>
      <c r="P41" s="291"/>
      <c r="Q41" s="16"/>
      <c r="R41" s="16"/>
      <c r="S41" s="17"/>
    </row>
    <row r="42" spans="1:19" ht="14.25" customHeight="1">
      <c r="A42" s="280">
        <v>840</v>
      </c>
      <c r="B42" s="280">
        <v>849</v>
      </c>
      <c r="D42" s="265" t="s">
        <v>428</v>
      </c>
      <c r="E42" s="266">
        <f>SUMIFS(PrT,Site,U,AcGr3,"&gt;="&amp;A,AcGr3,"&lt;="&amp;B)</f>
        <v>-7029.74</v>
      </c>
      <c r="F42" s="267">
        <f>E42-SUMIFS(PrL,Site,U,AcGr3,"&gt;="&amp;A,AcGr3,"&lt;="&amp;B)</f>
        <v>21654.840000000004</v>
      </c>
      <c r="G42" s="267">
        <f>E42-SUMIFS(PrB,Site,U,AcGr3,"&gt;="&amp;A,AcGr3,"&lt;="&amp;B)</f>
        <v>-7029.74</v>
      </c>
      <c r="H42" s="266">
        <f>SUMIFS(YtdT,Site,U,AcGr3,"&gt;="&amp;A,AcGr3,"&lt;="&amp;B)</f>
        <v>-15649.57</v>
      </c>
      <c r="I42" s="267">
        <f>H42-SUMIFS(YtdL,Site,U,AcGr3,"&gt;="&amp;A,AcGr3,"&lt;="&amp;B)</f>
        <v>22124.47</v>
      </c>
      <c r="J42" s="267">
        <f>H42-SUMIFS(YtdB,Site,U,AcGr3,"&gt;="&amp;A,AcGr3,"&lt;="&amp;B)</f>
        <v>-15649.57</v>
      </c>
      <c r="K42" s="51"/>
      <c r="L42" s="40"/>
      <c r="M42" s="48"/>
      <c r="N42" s="48"/>
      <c r="O42" s="16"/>
      <c r="P42" s="291"/>
      <c r="Q42" s="16"/>
      <c r="R42" s="16"/>
      <c r="S42" s="17"/>
    </row>
    <row r="43" spans="1:19" ht="14.25" customHeight="1">
      <c r="A43" s="280">
        <v>500</v>
      </c>
      <c r="B43" s="280">
        <v>899</v>
      </c>
      <c r="D43" s="254" t="s">
        <v>391</v>
      </c>
      <c r="E43" s="257">
        <f>SUMIFS(PrT,Site,U,AcGr3,"&gt;="&amp;A,AcGr3,"&lt;="&amp;B)</f>
        <v>529702.1600000003</v>
      </c>
      <c r="F43" s="255">
        <f>E43-SUMIFS(PrL,Site,U,AcGr3,"&gt;="&amp;A,AcGr3,"&lt;="&amp;B)</f>
        <v>-5577.619999999879</v>
      </c>
      <c r="G43" s="255">
        <f>E43-SUMIFS(PrB,Site,U,AcGr3,"&gt;="&amp;A,AcGr3,"&lt;="&amp;B)</f>
        <v>529702.1600000003</v>
      </c>
      <c r="H43" s="256">
        <f>SUMIFS(YtdT,Site,U,AcGr3,"&gt;="&amp;A,AcGr3,"&lt;="&amp;B)</f>
        <v>5619325.78</v>
      </c>
      <c r="I43" s="248">
        <f>H43-SUMIFS(YtdL,Site,U,AcGr3,"&gt;="&amp;A,AcGr3,"&lt;="&amp;B)</f>
        <v>23807.220000001602</v>
      </c>
      <c r="J43" s="248">
        <f>H43-SUMIFS(YtdB,Site,U,AcGr3,"&gt;="&amp;A,AcGr3,"&lt;="&amp;B)</f>
        <v>5619325.78</v>
      </c>
      <c r="K43" s="51"/>
      <c r="L43" s="40"/>
      <c r="M43" s="48"/>
      <c r="N43" s="48"/>
      <c r="O43" s="16"/>
      <c r="P43" s="16"/>
      <c r="Q43" s="16"/>
      <c r="R43" s="288"/>
      <c r="S43" s="18"/>
    </row>
    <row r="44" spans="4:19" ht="14.25" customHeight="1">
      <c r="D44" s="40"/>
      <c r="E44" s="47"/>
      <c r="F44" s="47"/>
      <c r="G44" s="47"/>
      <c r="H44" s="47"/>
      <c r="I44" s="47"/>
      <c r="J44" s="47"/>
      <c r="K44" s="52"/>
      <c r="L44" s="44"/>
      <c r="M44" s="48"/>
      <c r="N44" s="48"/>
      <c r="O44" s="16"/>
      <c r="P44" s="291"/>
      <c r="Q44" s="16"/>
      <c r="R44" s="16"/>
      <c r="S44" s="17"/>
    </row>
    <row r="45" spans="1:19" s="40" customFormat="1" ht="14.25" customHeight="1">
      <c r="A45" s="280">
        <v>300</v>
      </c>
      <c r="B45" s="280">
        <v>899</v>
      </c>
      <c r="D45" s="268" t="s">
        <v>321</v>
      </c>
      <c r="E45" s="269">
        <f>-SUMIFS(PrT,Site,U,AcGr3,"&gt;="&amp;A,AcGr3,"&lt;="&amp;B)</f>
        <v>-120375.89000000099</v>
      </c>
      <c r="F45" s="270">
        <f>E45+SUMIFS(PrL,Site,U,AcGr3,"&gt;="&amp;A,AcGr3,"&lt;="&amp;B)</f>
        <v>-21046.81000000103</v>
      </c>
      <c r="G45" s="270">
        <f>E45+SUMIFS(PrB,Site,U,AcGr3,"&gt;="&amp;A,AcGr3,"&lt;="&amp;B)</f>
        <v>-120375.89000000099</v>
      </c>
      <c r="H45" s="271">
        <f>-SUMIFS(YtdT,Site,U,AcGr3,"&gt;="&amp;A,AcGr3,"&lt;="&amp;B)</f>
        <v>317896.9199999854</v>
      </c>
      <c r="I45" s="272">
        <f>H45+SUMIFS(YtdL,Site,U,AcGr3,"&gt;="&amp;A,AcGr3,"&lt;="&amp;B)</f>
        <v>-1104785.9000000125</v>
      </c>
      <c r="J45" s="272">
        <f>H45+SUMIFS(YtdB,Site,U,AcGr3,"&gt;="&amp;A,AcGr3,"&lt;="&amp;B)</f>
        <v>317896.9199999854</v>
      </c>
      <c r="K45" s="55"/>
      <c r="M45" s="48"/>
      <c r="N45" s="48"/>
      <c r="O45" s="16"/>
      <c r="P45" s="291"/>
      <c r="Q45" s="16"/>
      <c r="R45" s="16"/>
      <c r="S45" s="17"/>
    </row>
    <row r="46" spans="4:19" ht="14.25" customHeight="1">
      <c r="D46" s="40"/>
      <c r="E46" s="40"/>
      <c r="F46" s="44"/>
      <c r="G46" s="40"/>
      <c r="H46" s="40"/>
      <c r="I46" s="40"/>
      <c r="J46" s="40"/>
      <c r="K46" s="52"/>
      <c r="L46" s="40"/>
      <c r="M46" s="48"/>
      <c r="N46" s="48"/>
      <c r="O46" s="16"/>
      <c r="P46" s="291"/>
      <c r="Q46" s="16"/>
      <c r="R46" s="16"/>
      <c r="S46" s="17"/>
    </row>
    <row r="47" spans="1:19" s="40" customFormat="1" ht="12.75">
      <c r="A47" s="281"/>
      <c r="M47" s="48"/>
      <c r="N47" s="48"/>
      <c r="O47" s="16"/>
      <c r="P47" s="16"/>
      <c r="Q47" s="16"/>
      <c r="R47" s="288"/>
      <c r="S47" s="18"/>
    </row>
    <row r="48" spans="1:19" s="40" customFormat="1" ht="12.75">
      <c r="A48" s="281"/>
      <c r="F48" s="44"/>
      <c r="M48" s="48"/>
      <c r="N48" s="48"/>
      <c r="O48" s="292"/>
      <c r="P48" s="291"/>
      <c r="Q48" s="16"/>
      <c r="R48" s="16"/>
      <c r="S48" s="17"/>
    </row>
    <row r="49" spans="1:19" s="40" customFormat="1" ht="12.75">
      <c r="A49" s="281"/>
      <c r="M49" s="48"/>
      <c r="N49" s="48"/>
      <c r="O49" s="292"/>
      <c r="P49" s="292"/>
      <c r="Q49" s="16"/>
      <c r="R49" s="288"/>
      <c r="S49" s="18"/>
    </row>
    <row r="50" spans="1:19" s="40" customFormat="1" ht="12.75">
      <c r="A50" s="281"/>
      <c r="E50" s="44"/>
      <c r="M50" s="48"/>
      <c r="N50" s="48"/>
      <c r="O50" s="292"/>
      <c r="P50" s="292"/>
      <c r="Q50" s="16"/>
      <c r="R50" s="288"/>
      <c r="S50" s="18"/>
    </row>
    <row r="51" spans="1:19" s="40" customFormat="1" ht="12.75">
      <c r="A51" s="281"/>
      <c r="F51" s="44"/>
      <c r="M51" s="48"/>
      <c r="N51" s="48"/>
      <c r="O51" s="292"/>
      <c r="P51" s="292"/>
      <c r="Q51" s="16"/>
      <c r="R51" s="288"/>
      <c r="S51" s="18"/>
    </row>
    <row r="52" spans="1:19" s="40" customFormat="1" ht="12.75">
      <c r="A52" s="281"/>
      <c r="M52" s="48"/>
      <c r="N52" s="48"/>
      <c r="O52" s="16"/>
      <c r="P52" s="16"/>
      <c r="Q52" s="16"/>
      <c r="R52" s="289"/>
      <c r="S52" s="290"/>
    </row>
    <row r="53" spans="1:19" s="40" customFormat="1" ht="12.75">
      <c r="A53" s="281"/>
      <c r="M53" s="48"/>
      <c r="N53" s="48"/>
      <c r="O53" s="292"/>
      <c r="P53" s="293"/>
      <c r="Q53" s="16"/>
      <c r="R53" s="291"/>
      <c r="S53" s="17"/>
    </row>
    <row r="54" spans="1:19" s="40" customFormat="1" ht="12.75">
      <c r="A54" s="281"/>
      <c r="M54" s="48"/>
      <c r="N54" s="48"/>
      <c r="O54" s="292"/>
      <c r="P54" s="292"/>
      <c r="Q54" s="16"/>
      <c r="R54" s="16"/>
      <c r="S54" s="17"/>
    </row>
    <row r="55" spans="1:19" s="40" customFormat="1" ht="12.75">
      <c r="A55" s="281"/>
      <c r="M55" s="48"/>
      <c r="N55" s="48"/>
      <c r="O55" s="292"/>
      <c r="P55" s="292"/>
      <c r="Q55" s="16"/>
      <c r="R55" s="16"/>
      <c r="S55" s="17"/>
    </row>
    <row r="56" spans="1:19" s="40" customFormat="1" ht="12.75">
      <c r="A56" s="281"/>
      <c r="M56" s="48"/>
      <c r="N56" s="48"/>
      <c r="O56" s="292"/>
      <c r="P56" s="292"/>
      <c r="Q56" s="16"/>
      <c r="R56" s="16"/>
      <c r="S56" s="17"/>
    </row>
    <row r="57" spans="1:19" s="40" customFormat="1" ht="12.75">
      <c r="A57" s="281"/>
      <c r="M57" s="48"/>
      <c r="N57" s="48"/>
      <c r="O57" s="292"/>
      <c r="P57" s="292"/>
      <c r="Q57" s="16"/>
      <c r="R57" s="16"/>
      <c r="S57" s="17"/>
    </row>
    <row r="58" spans="1:19" s="40" customFormat="1" ht="12.75">
      <c r="A58" s="281"/>
      <c r="M58" s="48"/>
      <c r="N58" s="48"/>
      <c r="O58" s="292"/>
      <c r="P58" s="292"/>
      <c r="Q58" s="16"/>
      <c r="R58" s="16"/>
      <c r="S58" s="17"/>
    </row>
    <row r="59" spans="1:19" s="40" customFormat="1" ht="12.75">
      <c r="A59" s="281"/>
      <c r="M59" s="48"/>
      <c r="N59" s="48"/>
      <c r="O59" s="292"/>
      <c r="P59" s="292"/>
      <c r="Q59" s="16"/>
      <c r="R59" s="16"/>
      <c r="S59" s="17"/>
    </row>
    <row r="60" spans="1:19" s="40" customFormat="1" ht="12.75">
      <c r="A60" s="281"/>
      <c r="M60" s="48"/>
      <c r="N60" s="48"/>
      <c r="O60" s="292"/>
      <c r="P60" s="292"/>
      <c r="Q60" s="16"/>
      <c r="R60" s="16"/>
      <c r="S60" s="17"/>
    </row>
    <row r="61" spans="1:19" s="40" customFormat="1" ht="12.75">
      <c r="A61" s="281"/>
      <c r="M61" s="48"/>
      <c r="N61" s="48"/>
      <c r="O61" s="292"/>
      <c r="P61" s="292"/>
      <c r="Q61" s="16"/>
      <c r="R61" s="16"/>
      <c r="S61" s="17"/>
    </row>
    <row r="62" spans="1:19" s="40" customFormat="1" ht="12.75">
      <c r="A62" s="281"/>
      <c r="M62" s="48"/>
      <c r="N62" s="48"/>
      <c r="O62" s="292"/>
      <c r="P62" s="292"/>
      <c r="Q62" s="16"/>
      <c r="R62" s="16"/>
      <c r="S62" s="17"/>
    </row>
    <row r="63" spans="1:19" s="40" customFormat="1" ht="12.75">
      <c r="A63" s="281"/>
      <c r="M63" s="48"/>
      <c r="N63" s="48"/>
      <c r="O63" s="292"/>
      <c r="P63" s="292"/>
      <c r="Q63" s="16"/>
      <c r="R63" s="16"/>
      <c r="S63" s="17"/>
    </row>
    <row r="64" spans="1:19" s="40" customFormat="1" ht="12.75">
      <c r="A64" s="281"/>
      <c r="M64" s="48"/>
      <c r="N64" s="48"/>
      <c r="O64" s="292"/>
      <c r="P64" s="292"/>
      <c r="Q64" s="16"/>
      <c r="R64" s="16"/>
      <c r="S64" s="17"/>
    </row>
    <row r="65" spans="1:19" s="40" customFormat="1" ht="12.75">
      <c r="A65" s="281"/>
      <c r="M65" s="48"/>
      <c r="N65" s="48"/>
      <c r="O65" s="292"/>
      <c r="P65" s="292"/>
      <c r="Q65" s="16"/>
      <c r="R65" s="16"/>
      <c r="S65" s="17"/>
    </row>
    <row r="66" spans="1:19" s="40" customFormat="1" ht="12.75">
      <c r="A66" s="281"/>
      <c r="M66" s="48"/>
      <c r="N66" s="48"/>
      <c r="O66" s="292"/>
      <c r="P66" s="292"/>
      <c r="Q66" s="16"/>
      <c r="R66" s="16"/>
      <c r="S66" s="17"/>
    </row>
    <row r="67" spans="1:19" s="40" customFormat="1" ht="12.75">
      <c r="A67" s="281"/>
      <c r="M67" s="48"/>
      <c r="N67" s="48"/>
      <c r="O67" s="292"/>
      <c r="P67" s="292"/>
      <c r="Q67" s="16"/>
      <c r="R67" s="16"/>
      <c r="S67" s="17"/>
    </row>
    <row r="68" spans="1:19" s="40" customFormat="1" ht="12.75">
      <c r="A68" s="281"/>
      <c r="M68" s="48"/>
      <c r="N68" s="48"/>
      <c r="O68" s="292"/>
      <c r="P68" s="292"/>
      <c r="Q68" s="16"/>
      <c r="R68" s="16"/>
      <c r="S68" s="17"/>
    </row>
    <row r="69" spans="1:19" s="40" customFormat="1" ht="12.75">
      <c r="A69" s="281"/>
      <c r="M69" s="48"/>
      <c r="N69" s="48"/>
      <c r="O69" s="292"/>
      <c r="P69" s="292"/>
      <c r="Q69" s="16"/>
      <c r="R69" s="16"/>
      <c r="S69" s="17"/>
    </row>
    <row r="70" spans="1:19" s="40" customFormat="1" ht="12.75">
      <c r="A70" s="281"/>
      <c r="M70" s="48"/>
      <c r="N70" s="48"/>
      <c r="O70" s="292"/>
      <c r="P70" s="292"/>
      <c r="Q70" s="16"/>
      <c r="R70" s="16"/>
      <c r="S70" s="17"/>
    </row>
    <row r="71" spans="1:19" s="40" customFormat="1" ht="12.75">
      <c r="A71" s="281"/>
      <c r="M71" s="48"/>
      <c r="N71" s="48"/>
      <c r="O71" s="292"/>
      <c r="P71" s="292"/>
      <c r="Q71" s="16"/>
      <c r="R71" s="16"/>
      <c r="S71" s="17"/>
    </row>
    <row r="72" spans="1:19" s="40" customFormat="1" ht="12.75">
      <c r="A72" s="281"/>
      <c r="M72" s="48"/>
      <c r="N72" s="48"/>
      <c r="O72" s="292"/>
      <c r="P72" s="292"/>
      <c r="Q72" s="16"/>
      <c r="R72" s="16"/>
      <c r="S72" s="17"/>
    </row>
    <row r="73" spans="1:19" s="40" customFormat="1" ht="12.75">
      <c r="A73" s="281"/>
      <c r="M73" s="48"/>
      <c r="N73" s="48"/>
      <c r="O73" s="292"/>
      <c r="P73" s="292"/>
      <c r="Q73" s="16"/>
      <c r="R73" s="16"/>
      <c r="S73" s="17"/>
    </row>
    <row r="74" spans="1:19" s="40" customFormat="1" ht="12.75">
      <c r="A74" s="281"/>
      <c r="M74" s="48"/>
      <c r="N74" s="48"/>
      <c r="O74" s="292"/>
      <c r="P74" s="292"/>
      <c r="Q74" s="16"/>
      <c r="R74" s="16"/>
      <c r="S74" s="17"/>
    </row>
    <row r="75" spans="1:19" s="40" customFormat="1" ht="12.75">
      <c r="A75" s="281"/>
      <c r="M75" s="48"/>
      <c r="N75" s="48"/>
      <c r="O75" s="292"/>
      <c r="P75" s="292"/>
      <c r="Q75" s="16"/>
      <c r="R75" s="16"/>
      <c r="S75" s="17"/>
    </row>
    <row r="76" spans="1:19" s="40" customFormat="1" ht="12.75">
      <c r="A76" s="281"/>
      <c r="M76" s="48"/>
      <c r="N76" s="48"/>
      <c r="O76" s="293"/>
      <c r="P76" s="292"/>
      <c r="Q76" s="16"/>
      <c r="R76" s="16"/>
      <c r="S76" s="17"/>
    </row>
    <row r="77" spans="1:19" s="40" customFormat="1" ht="12.75">
      <c r="A77" s="281"/>
      <c r="M77" s="48"/>
      <c r="N77" s="48"/>
      <c r="O77" s="292"/>
      <c r="P77" s="292"/>
      <c r="Q77" s="16"/>
      <c r="R77" s="16"/>
      <c r="S77" s="17"/>
    </row>
    <row r="78" spans="1:19" s="40" customFormat="1" ht="12.75">
      <c r="A78" s="281"/>
      <c r="M78" s="48"/>
      <c r="N78" s="48"/>
      <c r="O78" s="292"/>
      <c r="P78" s="292"/>
      <c r="Q78" s="16"/>
      <c r="R78" s="288"/>
      <c r="S78" s="18"/>
    </row>
    <row r="79" spans="1:19" s="40" customFormat="1" ht="12.75">
      <c r="A79" s="281"/>
      <c r="M79" s="48"/>
      <c r="N79" s="48"/>
      <c r="O79" s="292"/>
      <c r="P79" s="292"/>
      <c r="Q79" s="16"/>
      <c r="R79" s="16"/>
      <c r="S79" s="17"/>
    </row>
    <row r="80" spans="1:19" s="40" customFormat="1" ht="12.75">
      <c r="A80" s="281"/>
      <c r="M80" s="48"/>
      <c r="N80" s="48"/>
      <c r="O80" s="292"/>
      <c r="P80" s="292"/>
      <c r="Q80" s="16"/>
      <c r="R80" s="288"/>
      <c r="S80" s="18"/>
    </row>
    <row r="81" spans="1:19" s="40" customFormat="1" ht="12.75">
      <c r="A81" s="281"/>
      <c r="M81" s="48"/>
      <c r="N81" s="48"/>
      <c r="O81" s="292"/>
      <c r="P81" s="292"/>
      <c r="Q81" s="16"/>
      <c r="R81" s="16"/>
      <c r="S81" s="17"/>
    </row>
    <row r="82" spans="1:19" s="40" customFormat="1" ht="12.75">
      <c r="A82" s="281"/>
      <c r="M82" s="48"/>
      <c r="N82" s="48"/>
      <c r="O82" s="292"/>
      <c r="P82" s="292"/>
      <c r="Q82" s="16"/>
      <c r="R82" s="16"/>
      <c r="S82" s="17"/>
    </row>
    <row r="83" spans="1:19" s="40" customFormat="1" ht="12.75">
      <c r="A83" s="281"/>
      <c r="M83" s="48"/>
      <c r="N83" s="48"/>
      <c r="O83" s="294"/>
      <c r="P83" s="294"/>
      <c r="Q83" s="58"/>
      <c r="R83" s="58"/>
      <c r="S83" s="59"/>
    </row>
    <row r="84" spans="1:19" s="40" customFormat="1" ht="12.75">
      <c r="A84" s="281"/>
      <c r="M84" s="48"/>
      <c r="N84" s="48"/>
      <c r="O84" s="16"/>
      <c r="P84" s="16"/>
      <c r="Q84" s="16"/>
      <c r="R84" s="295"/>
      <c r="S84" s="296"/>
    </row>
    <row r="85" spans="1:19" s="40" customFormat="1" ht="12.75">
      <c r="A85" s="281"/>
      <c r="M85" s="48"/>
      <c r="N85" s="48"/>
      <c r="O85" s="16"/>
      <c r="P85" s="16"/>
      <c r="Q85" s="16"/>
      <c r="R85" s="295"/>
      <c r="S85" s="297"/>
    </row>
    <row r="86" spans="1:19" s="40" customFormat="1" ht="12.75">
      <c r="A86" s="281"/>
      <c r="M86" s="48"/>
      <c r="N86" s="48"/>
      <c r="O86" s="48"/>
      <c r="P86" s="48"/>
      <c r="Q86" s="48"/>
      <c r="R86" s="48"/>
      <c r="S86" s="48"/>
    </row>
    <row r="87" spans="1:19" s="40" customFormat="1" ht="12.75">
      <c r="A87" s="281"/>
      <c r="M87" s="48"/>
      <c r="N87" s="48"/>
      <c r="O87" s="48"/>
      <c r="P87" s="48"/>
      <c r="Q87" s="48"/>
      <c r="R87" s="48"/>
      <c r="S87" s="48"/>
    </row>
    <row r="88" spans="1:19" s="40" customFormat="1" ht="12.75">
      <c r="A88" s="281"/>
      <c r="M88" s="48"/>
      <c r="N88" s="48"/>
      <c r="O88" s="48"/>
      <c r="P88" s="48"/>
      <c r="Q88" s="48"/>
      <c r="R88" s="48"/>
      <c r="S88" s="48"/>
    </row>
    <row r="89" spans="1:14" s="40" customFormat="1" ht="12.75">
      <c r="A89" s="281"/>
      <c r="N89" s="275"/>
    </row>
    <row r="90" spans="1:14" s="40" customFormat="1" ht="12.75">
      <c r="A90" s="281"/>
      <c r="N90" s="275"/>
    </row>
    <row r="91" spans="1:14" s="40" customFormat="1" ht="12.75">
      <c r="A91" s="281"/>
      <c r="N91" s="275"/>
    </row>
    <row r="92" spans="1:14" s="40" customFormat="1" ht="12.75">
      <c r="A92" s="281"/>
      <c r="N92" s="275"/>
    </row>
    <row r="93" spans="1:14" s="40" customFormat="1" ht="12.75">
      <c r="A93" s="281"/>
      <c r="N93" s="275"/>
    </row>
    <row r="94" spans="1:14" s="40" customFormat="1" ht="12.75">
      <c r="A94" s="281"/>
      <c r="N94" s="275"/>
    </row>
    <row r="95" spans="1:14" s="40" customFormat="1" ht="12.75">
      <c r="A95" s="281"/>
      <c r="N95" s="275"/>
    </row>
    <row r="96" spans="1:14" s="40" customFormat="1" ht="12.75">
      <c r="A96" s="281"/>
      <c r="N96" s="275"/>
    </row>
    <row r="97" spans="1:14" s="40" customFormat="1" ht="12.75">
      <c r="A97" s="281"/>
      <c r="N97" s="275"/>
    </row>
    <row r="98" spans="1:14" s="40" customFormat="1" ht="12.75">
      <c r="A98" s="281"/>
      <c r="N98" s="275"/>
    </row>
    <row r="99" spans="1:14" s="40" customFormat="1" ht="12.75">
      <c r="A99" s="281"/>
      <c r="N99" s="275"/>
    </row>
    <row r="100" spans="1:14" s="40" customFormat="1" ht="12.75">
      <c r="A100" s="281"/>
      <c r="N100" s="275"/>
    </row>
    <row r="101" spans="1:14" s="40" customFormat="1" ht="12.75">
      <c r="A101" s="281"/>
      <c r="N101" s="275"/>
    </row>
    <row r="102" spans="1:14" s="40" customFormat="1" ht="12.75">
      <c r="A102" s="281"/>
      <c r="N102" s="275"/>
    </row>
    <row r="103" spans="1:14" s="40" customFormat="1" ht="12.75">
      <c r="A103" s="281"/>
      <c r="N103" s="275"/>
    </row>
    <row r="104" spans="1:14" s="40" customFormat="1" ht="12.75">
      <c r="A104" s="281"/>
      <c r="N104" s="275"/>
    </row>
    <row r="105" spans="1:14" s="40" customFormat="1" ht="12.75">
      <c r="A105" s="281"/>
      <c r="N105" s="275"/>
    </row>
    <row r="106" spans="1:14" s="40" customFormat="1" ht="12.75">
      <c r="A106" s="281"/>
      <c r="N106" s="275"/>
    </row>
    <row r="107" spans="1:14" s="40" customFormat="1" ht="12.75">
      <c r="A107" s="281"/>
      <c r="N107" s="275"/>
    </row>
    <row r="108" spans="1:14" s="40" customFormat="1" ht="12.75">
      <c r="A108" s="281"/>
      <c r="N108" s="275"/>
    </row>
    <row r="109" spans="1:14" s="40" customFormat="1" ht="12.75">
      <c r="A109" s="281"/>
      <c r="N109" s="275"/>
    </row>
    <row r="110" spans="1:14" s="40" customFormat="1" ht="12.75">
      <c r="A110" s="281"/>
      <c r="N110" s="275"/>
    </row>
    <row r="111" spans="1:14" s="40" customFormat="1" ht="12.75">
      <c r="A111" s="281"/>
      <c r="N111" s="275"/>
    </row>
    <row r="112" spans="1:14" s="40" customFormat="1" ht="12.75">
      <c r="A112" s="281"/>
      <c r="N112" s="275"/>
    </row>
    <row r="113" spans="1:14" s="40" customFormat="1" ht="12.75">
      <c r="A113" s="281"/>
      <c r="N113" s="275"/>
    </row>
    <row r="114" spans="1:14" s="40" customFormat="1" ht="12.75">
      <c r="A114" s="281"/>
      <c r="D114" s="41"/>
      <c r="E114" s="41"/>
      <c r="F114" s="41"/>
      <c r="G114" s="41"/>
      <c r="H114" s="41"/>
      <c r="I114" s="41"/>
      <c r="J114" s="41"/>
      <c r="N114" s="275"/>
    </row>
  </sheetData>
  <mergeCells count="2">
    <mergeCell ref="E3:G3"/>
    <mergeCell ref="H3:J3"/>
  </mergeCells>
  <conditionalFormatting sqref="L17:S17 L27:S27 L34:S37 K28:S33 K34:K36 K38:S46 E44:J44 E25:J25 E34:J34 E16:S16 K18:S26 E6:K15 N6:S15">
    <cfRule type="cellIs" priority="9" dxfId="94" operator="lessThan" stopIfTrue="1">
      <formula>0</formula>
    </cfRule>
  </conditionalFormatting>
  <conditionalFormatting sqref="E18:J21">
    <cfRule type="cellIs" priority="8" dxfId="94" operator="lessThan" stopIfTrue="1">
      <formula>0</formula>
    </cfRule>
  </conditionalFormatting>
  <conditionalFormatting sqref="E27:J30">
    <cfRule type="cellIs" priority="7" dxfId="94" operator="lessThan" stopIfTrue="1">
      <formula>0</formula>
    </cfRule>
  </conditionalFormatting>
  <conditionalFormatting sqref="E36:J40">
    <cfRule type="cellIs" priority="6" dxfId="94" operator="lessThan" stopIfTrue="1">
      <formula>0</formula>
    </cfRule>
  </conditionalFormatting>
  <conditionalFormatting sqref="E22:J24">
    <cfRule type="cellIs" priority="5" dxfId="94" operator="lessThan" stopIfTrue="1">
      <formula>0</formula>
    </cfRule>
  </conditionalFormatting>
  <conditionalFormatting sqref="E31:J33">
    <cfRule type="cellIs" priority="4" dxfId="94" operator="lessThan" stopIfTrue="1">
      <formula>0</formula>
    </cfRule>
  </conditionalFormatting>
  <conditionalFormatting sqref="E41:J43">
    <cfRule type="cellIs" priority="3" dxfId="94" operator="lessThan" stopIfTrue="1">
      <formula>0</formula>
    </cfRule>
  </conditionalFormatting>
  <conditionalFormatting sqref="E45:J45">
    <cfRule type="cellIs" priority="2" dxfId="94" operator="lessThan" stopIfTrue="1">
      <formula>0</formula>
    </cfRule>
  </conditionalFormatting>
  <conditionalFormatting sqref="L6:M15">
    <cfRule type="cellIs" priority="1" dxfId="94" operator="lessThan" stopIfTrue="1">
      <formula>0</formula>
    </cfRule>
  </conditionalFormatting>
  <dataValidations count="1">
    <dataValidation type="list" allowBlank="1" showInputMessage="1" showErrorMessage="1" sqref="D2">
      <formula1>Enheter</formula1>
    </dataValidation>
  </dataValidations>
  <printOptions/>
  <pageMargins left="0.31496062992125984" right="0.31496062992125984" top="0.31496062992125984" bottom="0.31496062992125984" header="0.15748031496062992" footer="0.15748031496062992"/>
  <pageSetup horizontalDpi="600" verticalDpi="600" orientation="portrait" paperSize="9" scale="69" r:id="rId1"/>
  <headerFooter>
    <oddFooter>&amp;L&amp;8&amp;A&amp;R&amp;8Azets Insight AS - 2021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3"/>
  <sheetViews>
    <sheetView showGridLines="0" tabSelected="1" workbookViewId="0" topLeftCell="B1">
      <selection activeCell="B1" sqref="B1"/>
    </sheetView>
  </sheetViews>
  <sheetFormatPr defaultColWidth="11.421875" defaultRowHeight="11.25" customHeight="1"/>
  <cols>
    <col min="1" max="1" width="7.140625" style="162" hidden="1" customWidth="1"/>
    <col min="2" max="2" width="2.7109375" style="161" bestFit="1" customWidth="1"/>
    <col min="3" max="3" width="25.140625" style="69" bestFit="1" customWidth="1"/>
    <col min="4" max="4" width="8.421875" style="69" customWidth="1"/>
    <col min="5" max="5" width="9.57421875" style="69" bestFit="1" customWidth="1"/>
    <col min="6" max="6" width="8.8515625" style="69" bestFit="1" customWidth="1"/>
    <col min="7" max="7" width="7.140625" style="69" bestFit="1" customWidth="1"/>
    <col min="8" max="8" width="0.85546875" style="10" customWidth="1"/>
    <col min="9" max="10" width="10.421875" style="69" bestFit="1" customWidth="1"/>
    <col min="11" max="11" width="10.140625" style="69" bestFit="1" customWidth="1"/>
    <col min="12" max="12" width="7.140625" style="69" bestFit="1" customWidth="1"/>
    <col min="13" max="13" width="4.8515625" style="20" customWidth="1"/>
    <col min="14" max="14" width="27.28125" style="39" bestFit="1" customWidth="1"/>
    <col min="15" max="15" width="8.7109375" style="39" bestFit="1" customWidth="1"/>
    <col min="16" max="16" width="7.8515625" style="39" bestFit="1" customWidth="1"/>
    <col min="17" max="17" width="8.7109375" style="39" bestFit="1" customWidth="1"/>
    <col min="18" max="18" width="43.57421875" style="165" hidden="1" customWidth="1"/>
    <col min="19" max="19" width="28.7109375" style="165" hidden="1" customWidth="1"/>
    <col min="20" max="20" width="6.140625" style="165" hidden="1" customWidth="1"/>
    <col min="21" max="21" width="1.57421875" style="165" hidden="1" customWidth="1"/>
    <col min="22" max="22" width="8.7109375" style="165" hidden="1" customWidth="1"/>
    <col min="23" max="23" width="17.57421875" style="165" customWidth="1"/>
    <col min="24" max="25" width="11.421875" style="20" customWidth="1"/>
    <col min="26" max="16384" width="11.421875" style="20" customWidth="1"/>
  </cols>
  <sheetData>
    <row r="1" spans="1:13" s="214" customFormat="1" ht="22.5" customHeight="1">
      <c r="A1" s="215" t="str">
        <f>_xlfn.IFERROR(VLOOKUP(Enhet,Enheter!A:B,2,0),"*")</f>
        <v>*</v>
      </c>
      <c r="B1" s="207"/>
      <c r="C1" s="201" t="s">
        <v>969</v>
      </c>
      <c r="D1" s="208"/>
      <c r="E1" s="209"/>
      <c r="F1" s="209"/>
      <c r="G1" s="210"/>
      <c r="H1" s="211"/>
      <c r="I1" s="212"/>
      <c r="J1" s="208"/>
      <c r="K1" s="208"/>
      <c r="L1" s="209"/>
      <c r="M1" s="213"/>
    </row>
    <row r="2" spans="1:13" s="92" customFormat="1" ht="11.25" customHeight="1">
      <c r="A2" s="203"/>
      <c r="B2" s="90"/>
      <c r="C2" s="204" t="str">
        <f>IF(BudgetReport="Regnskap","Regnskapsrapport","Budsjettrapport")</f>
        <v>Regnskapsrapport</v>
      </c>
      <c r="D2" s="90"/>
      <c r="E2" s="161"/>
      <c r="F2" s="90"/>
      <c r="G2" s="90"/>
      <c r="H2" s="206"/>
      <c r="I2" s="90"/>
      <c r="J2" s="90"/>
      <c r="K2" s="90"/>
      <c r="L2" s="161"/>
      <c r="M2" s="205"/>
    </row>
    <row r="3" spans="1:12" s="92" customFormat="1" ht="11.25" customHeight="1">
      <c r="A3" s="203"/>
      <c r="B3" s="90"/>
      <c r="C3" s="26"/>
      <c r="D3" s="90"/>
      <c r="E3" s="90"/>
      <c r="F3" s="90"/>
      <c r="G3" s="90"/>
      <c r="H3" s="206"/>
      <c r="I3" s="90"/>
      <c r="J3" s="90"/>
      <c r="K3" s="90"/>
      <c r="L3" s="161"/>
    </row>
    <row r="4" spans="1:17" ht="11.25" customHeight="1">
      <c r="A4" s="163"/>
      <c r="B4" s="90"/>
      <c r="C4" s="100" t="s">
        <v>84</v>
      </c>
      <c r="D4" s="101" t="str">
        <f>"Denne periode  "&amp;TEXT(FrDt,"dd.MM.")&amp;YEAR(FrDt)&amp;" - "&amp;TEXT(ToDt,"dd.MM.")&amp;YEAR(ToDt)</f>
        <v>Denne periode  01.12.2022 - 31.12.2022</v>
      </c>
      <c r="E4" s="102"/>
      <c r="F4" s="102"/>
      <c r="G4" s="102"/>
      <c r="I4" s="103" t="str">
        <f>"Hittil i år  "&amp;TEXT(DATEVALUE(YEAR(ToDt)&amp;"-1-1"),"dd.MM.")&amp;YEAR(DATEVALUE(YEAR(ToDt)&amp;"-1-1"))&amp;" - "&amp;TEXT(ToDt,"dd.MM.")&amp;YEAR(ToDt)</f>
        <v>Hittil i år  01.01.2022 - 31.12.2022</v>
      </c>
      <c r="J4" s="104"/>
      <c r="K4" s="105"/>
      <c r="L4" s="105"/>
      <c r="M4" s="154"/>
      <c r="N4" s="106" t="s">
        <v>154</v>
      </c>
      <c r="O4" s="107"/>
      <c r="P4" s="107"/>
      <c r="Q4" s="107"/>
    </row>
    <row r="5" spans="1:23" ht="11.25" customHeight="1">
      <c r="A5" s="163"/>
      <c r="B5" s="90"/>
      <c r="C5" s="68" t="s">
        <v>147</v>
      </c>
      <c r="D5" s="64" t="s">
        <v>124</v>
      </c>
      <c r="E5" s="98" t="str">
        <f>Comparison</f>
        <v>I fjor</v>
      </c>
      <c r="F5" s="64" t="s">
        <v>85</v>
      </c>
      <c r="G5" s="114" t="s">
        <v>125</v>
      </c>
      <c r="H5" s="132"/>
      <c r="I5" s="65" t="s">
        <v>124</v>
      </c>
      <c r="J5" s="99" t="str">
        <f>Comparison</f>
        <v>I fjor</v>
      </c>
      <c r="K5" s="65" t="s">
        <v>85</v>
      </c>
      <c r="L5" s="115" t="s">
        <v>125</v>
      </c>
      <c r="M5" s="154"/>
      <c r="N5" s="151" t="s">
        <v>588</v>
      </c>
      <c r="O5" s="152" t="s">
        <v>162</v>
      </c>
      <c r="P5" s="152" t="s">
        <v>90</v>
      </c>
      <c r="Q5" s="152" t="s">
        <v>89</v>
      </c>
      <c r="W5" s="152" t="s">
        <v>968</v>
      </c>
    </row>
    <row r="6" spans="1:17" ht="11.25" customHeight="1">
      <c r="A6" s="163">
        <v>10</v>
      </c>
      <c r="B6" s="90">
        <v>1</v>
      </c>
      <c r="C6" s="112" t="s">
        <v>509</v>
      </c>
      <c r="D6" s="133">
        <f>-SUMIFS(PrT,Site,U,AcGr3,"&gt;=300",AcGr3,"&lt;=399",ProdGr1,$A6)</f>
        <v>1686987.47</v>
      </c>
      <c r="E6" s="133">
        <f>-SUMIFS(PrC,Site,U,AcGr3,"&gt;=300",AcGr3,"&lt;=399",ProdGr1,$A6)</f>
        <v>1457338.2399999998</v>
      </c>
      <c r="F6" s="133">
        <f aca="true" t="shared" si="0" ref="F6">D6-E6</f>
        <v>229649.2300000002</v>
      </c>
      <c r="G6" s="116">
        <f aca="true" t="shared" si="1" ref="G6">_xlfn.IFERROR(100*(D6-E6)/E6,0)</f>
        <v>15.75812832578937</v>
      </c>
      <c r="H6" s="72"/>
      <c r="I6" s="134">
        <f>-SUMIFS(YtdT,Site,U,AcGr3,"&gt;=300",AcGr3,"&lt;=399",ProdGr1,$A6)</f>
        <v>25047884.69</v>
      </c>
      <c r="J6" s="134">
        <f>-SUMIFS(YtdC,Site,U,AcGr3,"&gt;=300",AcGr3,"&lt;=399",ProdGr1,$A6)</f>
        <v>22212101.05</v>
      </c>
      <c r="K6" s="134">
        <f aca="true" t="shared" si="2" ref="K6">I6-J6</f>
        <v>2835783.6400000006</v>
      </c>
      <c r="L6" s="117">
        <f aca="true" t="shared" si="3" ref="L6">_xlfn.IFERROR(100*(I6-J6)/J6,0)</f>
        <v>12.766841072875456</v>
      </c>
      <c r="M6" s="154"/>
      <c r="N6" s="70"/>
      <c r="O6" s="71"/>
      <c r="P6" s="71"/>
      <c r="Q6" s="71"/>
    </row>
    <row r="7" spans="1:23" ht="11.25" customHeight="1">
      <c r="A7" s="163">
        <v>120</v>
      </c>
      <c r="B7" s="90">
        <f>MAX(B$6:B6)+1</f>
        <v>2</v>
      </c>
      <c r="C7" s="113" t="s">
        <v>510</v>
      </c>
      <c r="D7" s="135">
        <f aca="true" t="shared" si="4" ref="D7:D19">-SUMIFS(PrT,Site,U,AcGr3,"&gt;=300",AcGr3,"&lt;=399",ProdGr3,$A7)</f>
        <v>177511.59</v>
      </c>
      <c r="E7" s="135">
        <f>-SUMIFS(PrC,Site,U,AcGr3,"&gt;=300",AcGr3,"&lt;=399",ProdGr3,$A7)</f>
        <v>169123.71000000002</v>
      </c>
      <c r="F7" s="135">
        <f aca="true" t="shared" si="5" ref="F7">D7-E7</f>
        <v>8387.879999999976</v>
      </c>
      <c r="G7" s="118">
        <f aca="true" t="shared" si="6" ref="G7">_xlfn.IFERROR(100*(D7-E7)/E7,0)</f>
        <v>4.95961210879301</v>
      </c>
      <c r="H7" s="72"/>
      <c r="I7" s="136">
        <f aca="true" t="shared" si="7" ref="I7:I19">-SUMIFS(YtdT,Site,U,AcGr3,"&gt;=300",AcGr3,"&lt;=399",ProdGr3,$A7)</f>
        <v>2396541.18</v>
      </c>
      <c r="J7" s="136">
        <f>-SUMIFS(YtdC,Site,U,AcGr3,"&gt;=300",AcGr3,"&lt;=399",ProdGr3,$A7)</f>
        <v>2619225.3500000006</v>
      </c>
      <c r="K7" s="136">
        <f aca="true" t="shared" si="8" ref="K7">I7-J7</f>
        <v>-222684.1700000004</v>
      </c>
      <c r="L7" s="119">
        <f aca="true" t="shared" si="9" ref="L7">_xlfn.IFERROR(100*(I7-J7)/J7,0)</f>
        <v>-8.501909543598465</v>
      </c>
      <c r="M7" s="164"/>
      <c r="N7" s="150" t="s">
        <v>40</v>
      </c>
      <c r="O7" s="160" t="str">
        <f>ToDt</f>
        <v>31.12.2022</v>
      </c>
      <c r="P7" s="160" t="s">
        <v>172</v>
      </c>
      <c r="Q7" s="160" t="str">
        <f>"01.01."&amp;YEAR(O7)</f>
        <v>01.01.2022</v>
      </c>
      <c r="W7" s="403"/>
    </row>
    <row r="8" spans="1:23" ht="11.25" customHeight="1">
      <c r="A8" s="163">
        <v>130</v>
      </c>
      <c r="B8" s="90">
        <f>MAX(B$6:B7)+1</f>
        <v>3</v>
      </c>
      <c r="C8" s="113" t="s">
        <v>511</v>
      </c>
      <c r="D8" s="135">
        <f t="shared" si="4"/>
        <v>26617.98</v>
      </c>
      <c r="E8" s="135">
        <f>-SUMIFS(PrC,Site,U,AcGr3,"&gt;=300",AcGr3,"&lt;=399",ProdGr3,$A8)</f>
        <v>14352.54</v>
      </c>
      <c r="F8" s="135">
        <f aca="true" t="shared" si="10" ref="F8:F20">D8-E8</f>
        <v>12265.439999999999</v>
      </c>
      <c r="G8" s="118">
        <f aca="true" t="shared" si="11" ref="G8:G20">_xlfn.IFERROR(100*(D8-E8)/E8,0)</f>
        <v>85.45832305640671</v>
      </c>
      <c r="H8" s="72"/>
      <c r="I8" s="136">
        <f t="shared" si="7"/>
        <v>105475.98000000001</v>
      </c>
      <c r="J8" s="136">
        <f>-SUMIFS(YtdC,Site,U,AcGr3,"&gt;=300",AcGr3,"&lt;=399",ProdGr3,$A8)</f>
        <v>111944.75</v>
      </c>
      <c r="K8" s="136">
        <f aca="true" t="shared" si="12" ref="K8:K20">I8-J8</f>
        <v>-6468.7699999999895</v>
      </c>
      <c r="L8" s="119">
        <f aca="true" t="shared" si="13" ref="L8:L20">_xlfn.IFERROR(100*(I8-J8)/J8,0)</f>
        <v>-5.778538073469269</v>
      </c>
      <c r="M8" s="164">
        <v>107</v>
      </c>
      <c r="N8" s="216" t="s">
        <v>41</v>
      </c>
      <c r="O8" s="153">
        <f>IF(U="*",SUMIFS(YtdT,Site,U,AcGr3,$M8),0)</f>
        <v>166463</v>
      </c>
      <c r="P8" s="153">
        <f aca="true" t="shared" si="14" ref="P8">O8-Q8</f>
        <v>0</v>
      </c>
      <c r="Q8" s="153">
        <f>IF(U="*",SUMIFS(OB,Site,U,AcGr3,$M8),0)</f>
        <v>166463</v>
      </c>
      <c r="R8" s="166"/>
      <c r="W8" s="407"/>
    </row>
    <row r="9" spans="1:23" ht="11.25" customHeight="1">
      <c r="A9" s="163">
        <v>140</v>
      </c>
      <c r="B9" s="90">
        <f>MAX(B$6:B8)+1</f>
        <v>4</v>
      </c>
      <c r="C9" s="113" t="s">
        <v>512</v>
      </c>
      <c r="D9" s="135">
        <f t="shared" si="4"/>
        <v>51646.24</v>
      </c>
      <c r="E9" s="135">
        <f>-SUMIFS(PrC,Site,U,AcGr3,"&gt;=300",AcGr3,"&lt;=399",ProdGr3,$A9)</f>
        <v>51853.21</v>
      </c>
      <c r="F9" s="135">
        <f t="shared" si="10"/>
        <v>-206.97000000000116</v>
      </c>
      <c r="G9" s="118">
        <f t="shared" si="11"/>
        <v>-0.39914597379795996</v>
      </c>
      <c r="H9" s="72"/>
      <c r="I9" s="136">
        <f t="shared" si="7"/>
        <v>760185.4299999999</v>
      </c>
      <c r="J9" s="136">
        <f>-SUMIFS(YtdC,Site,U,AcGr3,"&gt;=300",AcGr3,"&lt;=399",ProdGr3,$A9)</f>
        <v>905696.9499999998</v>
      </c>
      <c r="K9" s="136">
        <f t="shared" si="12"/>
        <v>-145511.5199999999</v>
      </c>
      <c r="L9" s="119">
        <f t="shared" si="13"/>
        <v>-16.066248208078864</v>
      </c>
      <c r="M9" s="164">
        <v>120</v>
      </c>
      <c r="N9" s="216" t="s">
        <v>42</v>
      </c>
      <c r="O9" s="153">
        <f>IF(U="*",SUMIFS(YtdT,Site,U,AcGr3,$M9),0)</f>
        <v>1584025.1</v>
      </c>
      <c r="P9" s="153">
        <f>O9-Q9</f>
        <v>1473625</v>
      </c>
      <c r="Q9" s="153">
        <f>IF(U="*",SUMIFS(OB,Site,U,AcGr3,$M9),0)</f>
        <v>110400.1</v>
      </c>
      <c r="R9" s="166"/>
      <c r="W9" s="402"/>
    </row>
    <row r="10" spans="1:23" ht="11.25" customHeight="1">
      <c r="A10" s="163">
        <v>160</v>
      </c>
      <c r="B10" s="90">
        <f>MAX(B$6:B9)+1</f>
        <v>5</v>
      </c>
      <c r="C10" s="113" t="s">
        <v>513</v>
      </c>
      <c r="D10" s="135">
        <f t="shared" si="4"/>
        <v>44193.549999999996</v>
      </c>
      <c r="E10" s="135">
        <f>-SUMIFS(PrC,Site,U,AcGr3,"&gt;=300",AcGr3,"&lt;=399",ProdGr3,$A10)</f>
        <v>53353.409999999996</v>
      </c>
      <c r="F10" s="135">
        <f t="shared" si="10"/>
        <v>-9159.86</v>
      </c>
      <c r="G10" s="118">
        <f t="shared" si="11"/>
        <v>-17.168274717586</v>
      </c>
      <c r="H10" s="72"/>
      <c r="I10" s="136">
        <f t="shared" si="7"/>
        <v>1092260.3</v>
      </c>
      <c r="J10" s="136">
        <f>-SUMIFS(YtdC,Site,U,AcGr3,"&gt;=300",AcGr3,"&lt;=399",ProdGr3,$A10)</f>
        <v>1581568.32</v>
      </c>
      <c r="K10" s="136">
        <f t="shared" si="12"/>
        <v>-489308.02</v>
      </c>
      <c r="L10" s="119">
        <f t="shared" si="13"/>
        <v>-30.938152580092144</v>
      </c>
      <c r="M10" s="164">
        <v>128</v>
      </c>
      <c r="N10" s="216" t="s">
        <v>43</v>
      </c>
      <c r="O10" s="153">
        <f>IF(U="*",SUMIFS(YtdT,Site,U,AcGr3,$M10),0)</f>
        <v>-189104.87</v>
      </c>
      <c r="P10" s="153">
        <f aca="true" t="shared" si="15" ref="P10:P11">O10-Q10</f>
        <v>-189104.87</v>
      </c>
      <c r="Q10" s="153">
        <f>IF(U="*",SUMIFS(OB,Site,U,AcGr3,$M10),0)</f>
        <v>0</v>
      </c>
      <c r="R10" s="166"/>
      <c r="W10" s="402"/>
    </row>
    <row r="11" spans="1:23" ht="11.25" customHeight="1">
      <c r="A11" s="163">
        <v>161</v>
      </c>
      <c r="B11" s="90">
        <f>MAX(B$6:B10)+1</f>
        <v>6</v>
      </c>
      <c r="C11" s="113" t="s">
        <v>514</v>
      </c>
      <c r="D11" s="135">
        <f t="shared" si="4"/>
        <v>0</v>
      </c>
      <c r="E11" s="135">
        <f>-SUMIFS(PrC,Site,U,AcGr3,"&gt;=300",AcGr3,"&lt;=399",ProdGr3,$A11)</f>
        <v>0</v>
      </c>
      <c r="F11" s="135">
        <f t="shared" si="10"/>
        <v>0</v>
      </c>
      <c r="G11" s="118">
        <f t="shared" si="11"/>
        <v>0</v>
      </c>
      <c r="H11" s="72"/>
      <c r="I11" s="136">
        <f t="shared" si="7"/>
        <v>0</v>
      </c>
      <c r="J11" s="136">
        <f>-SUMIFS(YtdC,Site,U,AcGr3,"&gt;=300",AcGr3,"&lt;=399",ProdGr3,$A11)</f>
        <v>0</v>
      </c>
      <c r="K11" s="136">
        <f t="shared" si="12"/>
        <v>0</v>
      </c>
      <c r="L11" s="119">
        <f t="shared" si="13"/>
        <v>0</v>
      </c>
      <c r="M11" s="164">
        <v>130</v>
      </c>
      <c r="N11" s="216" t="s">
        <v>44</v>
      </c>
      <c r="O11" s="153">
        <f>IF(U="*",SUMIFS(YtdT,Site,U,AcGr3,$M11),0)</f>
        <v>6166.870000000003</v>
      </c>
      <c r="P11" s="153">
        <f t="shared" si="15"/>
        <v>0</v>
      </c>
      <c r="Q11" s="153">
        <f>IF(U="*",SUMIFS(OB,Site,U,AcGr3,$M11),0)</f>
        <v>6166.870000000003</v>
      </c>
      <c r="R11" s="166"/>
      <c r="W11" s="402"/>
    </row>
    <row r="12" spans="1:23" ht="11.25" customHeight="1">
      <c r="A12" s="163">
        <v>170</v>
      </c>
      <c r="B12" s="90">
        <f>MAX(B$6:B11)+1</f>
        <v>7</v>
      </c>
      <c r="C12" s="113" t="s">
        <v>515</v>
      </c>
      <c r="D12" s="135">
        <f t="shared" si="4"/>
        <v>38977.22</v>
      </c>
      <c r="E12" s="135">
        <f>-SUMIFS(PrC,Site,U,AcGr3,"&gt;=300",AcGr3,"&lt;=399",ProdGr3,$A12)</f>
        <v>55776.939999999995</v>
      </c>
      <c r="F12" s="135">
        <f t="shared" si="10"/>
        <v>-16799.719999999994</v>
      </c>
      <c r="G12" s="118">
        <f t="shared" si="11"/>
        <v>-30.11947231239289</v>
      </c>
      <c r="H12" s="72"/>
      <c r="I12" s="136">
        <f t="shared" si="7"/>
        <v>479018.64</v>
      </c>
      <c r="J12" s="136">
        <f>-SUMIFS(YtdC,Site,U,AcGr3,"&gt;=300",AcGr3,"&lt;=399",ProdGr3,$A12)</f>
        <v>778085.1699999999</v>
      </c>
      <c r="K12" s="136">
        <f t="shared" si="12"/>
        <v>-299066.5299999999</v>
      </c>
      <c r="L12" s="119">
        <f t="shared" si="13"/>
        <v>-38.4362202919251</v>
      </c>
      <c r="M12" s="164"/>
      <c r="N12" s="155" t="s">
        <v>45</v>
      </c>
      <c r="O12" s="156">
        <f>SUBTOTAL(9,O8:O11)</f>
        <v>1567550.1</v>
      </c>
      <c r="P12" s="156">
        <f>SUBTOTAL(9,P8:P11)</f>
        <v>1284520.13</v>
      </c>
      <c r="Q12" s="156">
        <f>SUBTOTAL(9,Q8:Q11)</f>
        <v>283029.97</v>
      </c>
      <c r="R12" s="166"/>
      <c r="W12" s="404"/>
    </row>
    <row r="13" spans="1:23" ht="11.25" customHeight="1">
      <c r="A13" s="163">
        <v>180</v>
      </c>
      <c r="B13" s="90">
        <f>MAX(B$6:B12)+1</f>
        <v>8</v>
      </c>
      <c r="C13" s="113" t="s">
        <v>516</v>
      </c>
      <c r="D13" s="135">
        <f t="shared" si="4"/>
        <v>132471.2</v>
      </c>
      <c r="E13" s="135">
        <f>-SUMIFS(PrC,Site,U,AcGr3,"&gt;=300",AcGr3,"&lt;=399",ProdGr3,$A13)</f>
        <v>146316.8</v>
      </c>
      <c r="F13" s="135">
        <f t="shared" si="10"/>
        <v>-13845.599999999977</v>
      </c>
      <c r="G13" s="118">
        <f t="shared" si="11"/>
        <v>-9.462754789607194</v>
      </c>
      <c r="H13" s="72"/>
      <c r="I13" s="136">
        <f t="shared" si="7"/>
        <v>1556725.6</v>
      </c>
      <c r="J13" s="136">
        <f>-SUMIFS(YtdC,Site,U,AcGr3,"&gt;=300",AcGr3,"&lt;=399",ProdGr3,$A13)</f>
        <v>2194318.32</v>
      </c>
      <c r="K13" s="136">
        <f t="shared" si="12"/>
        <v>-637592.7199999997</v>
      </c>
      <c r="L13" s="119">
        <f t="shared" si="13"/>
        <v>-29.05652813398558</v>
      </c>
      <c r="M13" s="164">
        <v>140</v>
      </c>
      <c r="N13" s="216" t="s">
        <v>81</v>
      </c>
      <c r="O13" s="153">
        <f aca="true" t="shared" si="16" ref="O13:O18">IF(U="*",SUMIFS(YtdT,Site,U,AcGr3,$M13),0)</f>
        <v>1355700</v>
      </c>
      <c r="P13" s="153">
        <f aca="true" t="shared" si="17" ref="P13">O13-Q13</f>
        <v>-185900</v>
      </c>
      <c r="Q13" s="153">
        <f aca="true" t="shared" si="18" ref="Q13:Q18">IF(U="*",SUMIFS(OB,Site,U,AcGr3,$M13),0)</f>
        <v>1541600</v>
      </c>
      <c r="R13" s="166"/>
      <c r="W13" s="402"/>
    </row>
    <row r="14" spans="1:23" ht="11.25" customHeight="1">
      <c r="A14" s="163">
        <v>190</v>
      </c>
      <c r="B14" s="90">
        <f>MAX(B$6:B13)+1</f>
        <v>9</v>
      </c>
      <c r="C14" s="113" t="s">
        <v>517</v>
      </c>
      <c r="D14" s="135">
        <f t="shared" si="4"/>
        <v>49188.66</v>
      </c>
      <c r="E14" s="135">
        <f>-SUMIFS(PrC,Site,U,AcGr3,"&gt;=300",AcGr3,"&lt;=399",ProdGr3,$A14)</f>
        <v>66382.2</v>
      </c>
      <c r="F14" s="135">
        <f t="shared" si="10"/>
        <v>-17193.539999999994</v>
      </c>
      <c r="G14" s="118">
        <f t="shared" si="11"/>
        <v>-25.90082883664596</v>
      </c>
      <c r="H14" s="72"/>
      <c r="I14" s="136">
        <f t="shared" si="7"/>
        <v>507113.51999999996</v>
      </c>
      <c r="J14" s="136">
        <f>-SUMIFS(YtdC,Site,U,AcGr3,"&gt;=300",AcGr3,"&lt;=399",ProdGr3,$A14)</f>
        <v>610668.01</v>
      </c>
      <c r="K14" s="136">
        <f t="shared" si="12"/>
        <v>-103554.49000000005</v>
      </c>
      <c r="L14" s="119">
        <f t="shared" si="13"/>
        <v>-16.9575756883024</v>
      </c>
      <c r="M14" s="164">
        <v>150</v>
      </c>
      <c r="N14" s="216" t="s">
        <v>46</v>
      </c>
      <c r="O14" s="153">
        <f t="shared" si="16"/>
        <v>37845.93</v>
      </c>
      <c r="P14" s="153">
        <f aca="true" t="shared" si="19" ref="P14:P18">O14-Q14</f>
        <v>7096.639999999999</v>
      </c>
      <c r="Q14" s="153">
        <f t="shared" si="18"/>
        <v>30749.29</v>
      </c>
      <c r="R14" s="166"/>
      <c r="W14" s="402"/>
    </row>
    <row r="15" spans="1:23" ht="11.25" customHeight="1">
      <c r="A15" s="163">
        <v>200</v>
      </c>
      <c r="B15" s="90">
        <f>MAX(B$6:B14)+1</f>
        <v>10</v>
      </c>
      <c r="C15" s="113" t="s">
        <v>518</v>
      </c>
      <c r="D15" s="135">
        <f t="shared" si="4"/>
        <v>128215.01999999999</v>
      </c>
      <c r="E15" s="135">
        <f>-SUMIFS(PrC,Site,U,AcGr3,"&gt;=300",AcGr3,"&lt;=399",ProdGr3,$A15)</f>
        <v>114598.87000000001</v>
      </c>
      <c r="F15" s="135">
        <f t="shared" si="10"/>
        <v>13616.14999999998</v>
      </c>
      <c r="G15" s="118">
        <f t="shared" si="11"/>
        <v>11.881574399468317</v>
      </c>
      <c r="H15" s="72"/>
      <c r="I15" s="136">
        <f t="shared" si="7"/>
        <v>1380432.61</v>
      </c>
      <c r="J15" s="136">
        <f>-SUMIFS(YtdC,Site,U,AcGr3,"&gt;=300",AcGr3,"&lt;=399",ProdGr3,$A15)</f>
        <v>1465823.96</v>
      </c>
      <c r="K15" s="136">
        <f t="shared" si="12"/>
        <v>-85391.34999999986</v>
      </c>
      <c r="L15" s="119">
        <f t="shared" si="13"/>
        <v>-5.825484664611421</v>
      </c>
      <c r="M15" s="164">
        <v>155</v>
      </c>
      <c r="N15" s="216" t="s">
        <v>47</v>
      </c>
      <c r="O15" s="153">
        <f t="shared" si="16"/>
        <v>0</v>
      </c>
      <c r="P15" s="153">
        <f t="shared" si="19"/>
        <v>0</v>
      </c>
      <c r="Q15" s="153">
        <f t="shared" si="18"/>
        <v>0</v>
      </c>
      <c r="R15" s="166"/>
      <c r="W15" s="402"/>
    </row>
    <row r="16" spans="1:23" ht="11.25" customHeight="1">
      <c r="A16" s="163">
        <v>210</v>
      </c>
      <c r="B16" s="90">
        <f>MAX(B$6:B14)+1</f>
        <v>10</v>
      </c>
      <c r="C16" s="113" t="s">
        <v>519</v>
      </c>
      <c r="D16" s="135">
        <f t="shared" si="4"/>
        <v>81664.81</v>
      </c>
      <c r="E16" s="135">
        <f>-SUMIFS(PrC,Site,U,AcGr3,"&gt;=300",AcGr3,"&lt;=399",ProdGr3,$A16)</f>
        <v>140530.69</v>
      </c>
      <c r="F16" s="135">
        <f t="shared" si="10"/>
        <v>-58865.880000000005</v>
      </c>
      <c r="G16" s="118">
        <f t="shared" si="11"/>
        <v>-41.88827365751922</v>
      </c>
      <c r="H16" s="72"/>
      <c r="I16" s="136">
        <f t="shared" si="7"/>
        <v>1053657.17</v>
      </c>
      <c r="J16" s="136">
        <f>-SUMIFS(YtdC,Site,U,AcGr3,"&gt;=300",AcGr3,"&lt;=399",ProdGr3,$A16)</f>
        <v>1273327.0599999998</v>
      </c>
      <c r="K16" s="136">
        <f t="shared" si="12"/>
        <v>-219669.8899999999</v>
      </c>
      <c r="L16" s="119">
        <f t="shared" si="13"/>
        <v>-17.25164703560136</v>
      </c>
      <c r="M16" s="164">
        <v>170</v>
      </c>
      <c r="N16" s="216" t="s">
        <v>48</v>
      </c>
      <c r="O16" s="153">
        <f t="shared" si="16"/>
        <v>-29791.86</v>
      </c>
      <c r="P16" s="153">
        <f t="shared" si="19"/>
        <v>-52525.65</v>
      </c>
      <c r="Q16" s="153">
        <f t="shared" si="18"/>
        <v>22733.79</v>
      </c>
      <c r="R16" s="166"/>
      <c r="W16" s="402"/>
    </row>
    <row r="17" spans="1:23" ht="11.25" customHeight="1">
      <c r="A17" s="163">
        <v>211</v>
      </c>
      <c r="B17" s="90">
        <f>MAX(B$6:B15)+1</f>
        <v>11</v>
      </c>
      <c r="C17" s="113" t="s">
        <v>520</v>
      </c>
      <c r="D17" s="135">
        <f t="shared" si="4"/>
        <v>1824</v>
      </c>
      <c r="E17" s="135">
        <f>-SUMIFS(PrC,Site,U,AcGr3,"&gt;=300",AcGr3,"&lt;=399",ProdGr3,$A17)</f>
        <v>16320</v>
      </c>
      <c r="F17" s="135">
        <f t="shared" si="10"/>
        <v>-14496</v>
      </c>
      <c r="G17" s="118">
        <f t="shared" si="11"/>
        <v>-88.82352941176471</v>
      </c>
      <c r="H17" s="72"/>
      <c r="I17" s="136">
        <f t="shared" si="7"/>
        <v>150973.6</v>
      </c>
      <c r="J17" s="136">
        <f>-SUMIFS(YtdC,Site,U,AcGr3,"&gt;=300",AcGr3,"&lt;=399",ProdGr3,$A17)</f>
        <v>183091.2</v>
      </c>
      <c r="K17" s="136">
        <f t="shared" si="12"/>
        <v>-32117.600000000006</v>
      </c>
      <c r="L17" s="119">
        <f t="shared" si="13"/>
        <v>-17.541858920581657</v>
      </c>
      <c r="M17" s="164">
        <v>190</v>
      </c>
      <c r="N17" s="216" t="s">
        <v>35</v>
      </c>
      <c r="O17" s="153">
        <f t="shared" si="16"/>
        <v>3654361.52</v>
      </c>
      <c r="P17" s="153">
        <f t="shared" si="19"/>
        <v>-1243999.85</v>
      </c>
      <c r="Q17" s="153">
        <f t="shared" si="18"/>
        <v>4898361.37</v>
      </c>
      <c r="R17" s="166"/>
      <c r="W17" s="402"/>
    </row>
    <row r="18" spans="1:23" ht="11.25" customHeight="1">
      <c r="A18" s="163">
        <v>220</v>
      </c>
      <c r="B18" s="90">
        <f>MAX(B$6:B17)+1</f>
        <v>12</v>
      </c>
      <c r="C18" s="113" t="s">
        <v>521</v>
      </c>
      <c r="D18" s="135">
        <f t="shared" si="4"/>
        <v>0</v>
      </c>
      <c r="E18" s="135">
        <f>-SUMIFS(PrC,Site,U,AcGr3,"&gt;=300",AcGr3,"&lt;=399",ProdGr3,$A18)</f>
        <v>0</v>
      </c>
      <c r="F18" s="135">
        <f t="shared" si="10"/>
        <v>0</v>
      </c>
      <c r="G18" s="118">
        <f t="shared" si="11"/>
        <v>0</v>
      </c>
      <c r="H18" s="72"/>
      <c r="I18" s="136">
        <f t="shared" si="7"/>
        <v>0</v>
      </c>
      <c r="J18" s="136">
        <f>-SUMIFS(YtdC,Site,U,AcGr3,"&gt;=300",AcGr3,"&lt;=399",ProdGr3,$A18)</f>
        <v>33520</v>
      </c>
      <c r="K18" s="136">
        <f t="shared" si="12"/>
        <v>-33520</v>
      </c>
      <c r="L18" s="119">
        <f t="shared" si="13"/>
        <v>-100</v>
      </c>
      <c r="M18" s="164">
        <v>191</v>
      </c>
      <c r="N18" s="216" t="s">
        <v>51</v>
      </c>
      <c r="O18" s="153">
        <f t="shared" si="16"/>
        <v>26314.5</v>
      </c>
      <c r="P18" s="153">
        <f t="shared" si="19"/>
        <v>-5615.459999999999</v>
      </c>
      <c r="Q18" s="153">
        <f t="shared" si="18"/>
        <v>31929.96</v>
      </c>
      <c r="R18" s="166"/>
      <c r="W18" s="402"/>
    </row>
    <row r="19" spans="1:23" ht="11.25" customHeight="1">
      <c r="A19" s="163">
        <v>250</v>
      </c>
      <c r="B19" s="90">
        <f>MAX(B$6:B18)+1</f>
        <v>13</v>
      </c>
      <c r="C19" s="113" t="s">
        <v>522</v>
      </c>
      <c r="D19" s="135">
        <f t="shared" si="4"/>
        <v>2441.55</v>
      </c>
      <c r="E19" s="135">
        <f>-SUMIFS(PrC,Site,U,AcGr3,"&gt;=300",AcGr3,"&lt;=399",ProdGr3,$A19)</f>
        <v>2737.8</v>
      </c>
      <c r="F19" s="135">
        <f t="shared" si="10"/>
        <v>-296.25</v>
      </c>
      <c r="G19" s="118">
        <f t="shared" si="11"/>
        <v>-10.820731974578127</v>
      </c>
      <c r="H19" s="72"/>
      <c r="I19" s="136">
        <f t="shared" si="7"/>
        <v>37791.91</v>
      </c>
      <c r="J19" s="136">
        <f>-SUMIFS(YtdC,Site,U,AcGr3,"&gt;=300",AcGr3,"&lt;=399",ProdGr3,$A19)</f>
        <v>56370.44</v>
      </c>
      <c r="K19" s="136">
        <f t="shared" si="12"/>
        <v>-18578.53</v>
      </c>
      <c r="L19" s="119">
        <f t="shared" si="13"/>
        <v>-32.9579297234508</v>
      </c>
      <c r="M19" s="164"/>
      <c r="N19" s="157" t="s">
        <v>52</v>
      </c>
      <c r="O19" s="158">
        <f>SUBTOTAL(9,O13:O18)</f>
        <v>5044430.09</v>
      </c>
      <c r="P19" s="158">
        <f>SUBTOTAL(9,P13:P18)</f>
        <v>-1480944.32</v>
      </c>
      <c r="Q19" s="158">
        <f>SUBTOTAL(9,Q13:Q18)</f>
        <v>6525374.41</v>
      </c>
      <c r="R19" s="166"/>
      <c r="W19" s="405"/>
    </row>
    <row r="20" spans="1:23" ht="11.25" customHeight="1">
      <c r="A20" s="163">
        <v>40</v>
      </c>
      <c r="B20" s="90">
        <f>MAX(B$6:B19)+1</f>
        <v>14</v>
      </c>
      <c r="C20" s="112" t="s">
        <v>589</v>
      </c>
      <c r="D20" s="133">
        <f>-SUMIFS(PrT,Site,U,AcGr3,"&gt;=300",AcGr3,"&lt;=399",ProdGr1,$A20)</f>
        <v>734935.0200000003</v>
      </c>
      <c r="E20" s="133">
        <f>-SUMIFS(PrC,Site,U,AcGr3,"&gt;=300",AcGr3,"&lt;=399",ProdGr1,$A20)</f>
        <v>831346.1700000002</v>
      </c>
      <c r="F20" s="133">
        <f t="shared" si="10"/>
        <v>-96411.1499999999</v>
      </c>
      <c r="G20" s="116">
        <f t="shared" si="11"/>
        <v>-11.596992141071617</v>
      </c>
      <c r="H20" s="72"/>
      <c r="I20" s="134">
        <f>-SUMIFS(YtdT,Site,U,AcGr3,"&gt;=300",AcGr3,"&lt;=399",ProdGr1,$A20)</f>
        <v>9529147.94</v>
      </c>
      <c r="J20" s="134">
        <f>-SUMIFS(YtdC,Site,U,AcGr3,"&gt;=300",AcGr3,"&lt;=399",ProdGr1,$A20)</f>
        <v>11813639.529999996</v>
      </c>
      <c r="K20" s="134">
        <f t="shared" si="12"/>
        <v>-2284491.589999996</v>
      </c>
      <c r="L20" s="117">
        <f t="shared" si="13"/>
        <v>-19.337745867382132</v>
      </c>
      <c r="M20" s="164"/>
      <c r="N20" s="150" t="s">
        <v>586</v>
      </c>
      <c r="O20" s="159">
        <f>O12+O19</f>
        <v>6611980.1899999995</v>
      </c>
      <c r="P20" s="159">
        <f aca="true" t="shared" si="20" ref="P20:Q20">P12+P19</f>
        <v>-196424.19000000018</v>
      </c>
      <c r="Q20" s="159">
        <f t="shared" si="20"/>
        <v>6808404.38</v>
      </c>
      <c r="R20" s="166"/>
      <c r="W20" s="403"/>
    </row>
    <row r="21" spans="1:23" ht="11.25" customHeight="1">
      <c r="A21" s="163"/>
      <c r="B21" s="90">
        <f>MAX(B$6:B20)+1</f>
        <v>15</v>
      </c>
      <c r="C21" s="111" t="s">
        <v>590</v>
      </c>
      <c r="D21" s="137">
        <f>-SUMIFS(PrT,Site,U,AcGr3,"&gt;=300",AcGr3,"&lt;=399")</f>
        <v>2421954.489999999</v>
      </c>
      <c r="E21" s="137">
        <f>-SUMIFS(PrC,Site,U,AcGr3,"&gt;=300",AcGr3,"&lt;=399")</f>
        <v>2288704.41</v>
      </c>
      <c r="F21" s="137">
        <f aca="true" t="shared" si="21" ref="F21">D21-E21</f>
        <v>133250.07999999868</v>
      </c>
      <c r="G21" s="120">
        <f aca="true" t="shared" si="22" ref="G21">_xlfn.IFERROR(100*(D21-E21)/E21,0)</f>
        <v>5.822074681981264</v>
      </c>
      <c r="H21" s="72"/>
      <c r="I21" s="138">
        <f>-SUMIFS(YtdT,Site,U,AcGr3,"&gt;=300",AcGr3,"&lt;=399")</f>
        <v>34577320.859999985</v>
      </c>
      <c r="J21" s="138">
        <f>-SUMIFS(YtdC,Site,U,AcGr3,"&gt;=300",AcGr3,"&lt;=399")</f>
        <v>34025940.58</v>
      </c>
      <c r="K21" s="138">
        <f aca="true" t="shared" si="23" ref="K21">I21-J21</f>
        <v>551380.2799999863</v>
      </c>
      <c r="L21" s="121">
        <f aca="true" t="shared" si="24" ref="L21">_xlfn.IFERROR(100*(I21-J21)/J21,0)</f>
        <v>1.6204703546801595</v>
      </c>
      <c r="M21" s="164"/>
      <c r="N21" s="70"/>
      <c r="O21" s="71"/>
      <c r="P21" s="71"/>
      <c r="Q21" s="71"/>
      <c r="R21" s="166"/>
      <c r="W21" s="406"/>
    </row>
    <row r="22" spans="1:23" ht="11.25" customHeight="1">
      <c r="A22" s="163"/>
      <c r="B22" s="90"/>
      <c r="C22" s="12"/>
      <c r="D22" s="73"/>
      <c r="E22" s="73"/>
      <c r="F22" s="73"/>
      <c r="G22" s="79"/>
      <c r="H22" s="139"/>
      <c r="I22" s="74"/>
      <c r="J22" s="74"/>
      <c r="K22" s="74"/>
      <c r="L22" s="80"/>
      <c r="M22" s="164"/>
      <c r="N22" s="150" t="s">
        <v>56</v>
      </c>
      <c r="O22" s="160"/>
      <c r="P22" s="160"/>
      <c r="Q22" s="160"/>
      <c r="R22" s="166"/>
      <c r="W22" s="403"/>
    </row>
    <row r="23" spans="1:23" ht="11.25" customHeight="1">
      <c r="A23" s="163"/>
      <c r="B23" s="90"/>
      <c r="C23" s="68" t="s">
        <v>584</v>
      </c>
      <c r="D23" s="64" t="s">
        <v>124</v>
      </c>
      <c r="E23" s="98" t="str">
        <f>Comparison</f>
        <v>I fjor</v>
      </c>
      <c r="F23" s="64" t="s">
        <v>85</v>
      </c>
      <c r="G23" s="114" t="s">
        <v>133</v>
      </c>
      <c r="H23" s="132"/>
      <c r="I23" s="65" t="s">
        <v>124</v>
      </c>
      <c r="J23" s="99" t="str">
        <f>Comparison</f>
        <v>I fjor</v>
      </c>
      <c r="K23" s="65" t="s">
        <v>85</v>
      </c>
      <c r="L23" s="115" t="s">
        <v>133</v>
      </c>
      <c r="M23" s="164">
        <v>201</v>
      </c>
      <c r="N23" s="216" t="s">
        <v>183</v>
      </c>
      <c r="O23" s="153">
        <f>IF(U="*",-SUMIFS(YtdT,Site,U,AcGr3,$M23),0)</f>
        <v>3601617.26</v>
      </c>
      <c r="P23" s="153">
        <f>O23-Q23</f>
        <v>0</v>
      </c>
      <c r="Q23" s="153">
        <f>IF(U="*",-SUMIFS(OB,Site,U,AcGr3,$M23),0)</f>
        <v>3601617.26</v>
      </c>
      <c r="R23" s="166"/>
      <c r="W23" s="402"/>
    </row>
    <row r="24" spans="1:23" ht="11.25" customHeight="1">
      <c r="A24" s="163">
        <v>10</v>
      </c>
      <c r="B24" s="90">
        <f>MAX(B$6:B23)+1</f>
        <v>16</v>
      </c>
      <c r="C24" s="112" t="s">
        <v>509</v>
      </c>
      <c r="D24" s="133">
        <f>-SUMIFS(PrT,Site,U,AcGr3,"&gt;=300",AcGr3,"&lt;=499",ProdGr1,$A24)</f>
        <v>56608.389999999985</v>
      </c>
      <c r="E24" s="133">
        <f>-SUMIFS(PrC,Site,U,AcGr3,"&gt;=300",AcGr3,"&lt;=499",ProdGr1,$A24)</f>
        <v>28503.459999999763</v>
      </c>
      <c r="F24" s="133">
        <f aca="true" t="shared" si="25" ref="F24:F26">D24-E24</f>
        <v>28104.930000000222</v>
      </c>
      <c r="G24" s="116">
        <f>_xlfn.IFERROR(100*D24/D6,0)</f>
        <v>3.3555904241541272</v>
      </c>
      <c r="H24" s="72"/>
      <c r="I24" s="134">
        <f>-SUMIFS(YtdT,Site,U,AcGr3,"&gt;=300",AcGr3,"&lt;=499",ProdGr1,$A24)</f>
        <v>1154459.3600000017</v>
      </c>
      <c r="J24" s="134">
        <f>-SUMIFS(YtdC,Site,U,AcGr3,"&gt;=300",AcGr3,"&lt;=499",ProdGr1,$A24)</f>
        <v>1331329.379999998</v>
      </c>
      <c r="K24" s="134">
        <f aca="true" t="shared" si="26" ref="K24:K26">I24-J24</f>
        <v>-176870.0199999963</v>
      </c>
      <c r="L24" s="117">
        <f aca="true" t="shared" si="27" ref="L24:L39">_xlfn.IFERROR(100*I24/I6,0)</f>
        <v>4.609009400545918</v>
      </c>
      <c r="M24" s="164">
        <v>209</v>
      </c>
      <c r="N24" s="216" t="s">
        <v>594</v>
      </c>
      <c r="O24" s="153">
        <f>IF(U="*",-SUMIFS(YtdT,Site,U,AcGr3,$M24)-(SUMIFS(YtdT,Site,U,AcGr3,"&gt;=300",AcGr3,"&lt;=849"))-SUMIFS(OB,Site,U,AcGr3,$M24)+SUM(OB),0)</f>
        <v>317896.91999998584</v>
      </c>
      <c r="P24" s="153">
        <f>O24-Q24</f>
        <v>317896.9199999854</v>
      </c>
      <c r="Q24" s="153">
        <f>IF(U="*",-SUMIFS(OB,Site,U,AcGr3,$M24)+SUM(OB),0)</f>
        <v>4.656612873077393E-10</v>
      </c>
      <c r="R24" s="166"/>
      <c r="W24" s="402"/>
    </row>
    <row r="25" spans="1:23" ht="11.25" customHeight="1">
      <c r="A25" s="163">
        <v>120</v>
      </c>
      <c r="B25" s="90">
        <f>MAX(B$6:B24)+1</f>
        <v>17</v>
      </c>
      <c r="C25" s="113" t="s">
        <v>510</v>
      </c>
      <c r="D25" s="135">
        <f aca="true" t="shared" si="28" ref="D25:D37">-SUMIFS(PrT,Site,U,AcGr3,"&gt;=300",AcGr3,"&lt;=499",ProdGr3,$A25)</f>
        <v>64177.240000000005</v>
      </c>
      <c r="E25" s="135">
        <f>-SUMIFS(PrC,Site,U,AcGr3,"&gt;=300",AcGr3,"&lt;=499",ProdGr3,$A25)</f>
        <v>122312.67000000001</v>
      </c>
      <c r="F25" s="135">
        <f t="shared" si="25"/>
        <v>-58135.43000000001</v>
      </c>
      <c r="G25" s="118">
        <f aca="true" t="shared" si="29" ref="G25:G39">_xlfn.IFERROR(100*D25/D7,0)</f>
        <v>36.15383085690349</v>
      </c>
      <c r="H25" s="72"/>
      <c r="I25" s="136">
        <f aca="true" t="shared" si="30" ref="I25:I37">-SUMIFS(YtdT,Site,U,AcGr3,"&gt;=300",AcGr3,"&lt;=499",ProdGr3,$A25)</f>
        <v>1257732.52</v>
      </c>
      <c r="J25" s="136">
        <f>-SUMIFS(YtdC,Site,U,AcGr3,"&gt;=300",AcGr3,"&lt;=499",ProdGr3,$A25)</f>
        <v>1398300.7500000007</v>
      </c>
      <c r="K25" s="136">
        <f t="shared" si="26"/>
        <v>-140568.23000000068</v>
      </c>
      <c r="L25" s="119">
        <f t="shared" si="27"/>
        <v>52.4811561969488</v>
      </c>
      <c r="M25" s="164"/>
      <c r="N25" s="217" t="s">
        <v>151</v>
      </c>
      <c r="O25" s="156">
        <f>SUBTOTAL(9,O22:O24)</f>
        <v>3919514.1799999857</v>
      </c>
      <c r="P25" s="156">
        <f>SUBTOTAL(9,P22:P24)</f>
        <v>317896.9199999854</v>
      </c>
      <c r="Q25" s="156">
        <f>SUBTOTAL(9,Q22:Q24)</f>
        <v>3601617.2600000002</v>
      </c>
      <c r="R25" s="166"/>
      <c r="W25" s="404"/>
    </row>
    <row r="26" spans="1:23" ht="11.25" customHeight="1">
      <c r="A26" s="163">
        <v>130</v>
      </c>
      <c r="B26" s="90">
        <f>MAX(B$6:B25)+1</f>
        <v>18</v>
      </c>
      <c r="C26" s="113" t="s">
        <v>511</v>
      </c>
      <c r="D26" s="135">
        <f t="shared" si="28"/>
        <v>16912.02</v>
      </c>
      <c r="E26" s="135">
        <f>-SUMIFS(PrC,Site,U,AcGr3,"&gt;=300",AcGr3,"&lt;=499",ProdGr3,$A26)</f>
        <v>12036.28</v>
      </c>
      <c r="F26" s="135">
        <f t="shared" si="25"/>
        <v>4875.74</v>
      </c>
      <c r="G26" s="118">
        <f t="shared" si="29"/>
        <v>63.536075990740095</v>
      </c>
      <c r="H26" s="72"/>
      <c r="I26" s="136">
        <f t="shared" si="30"/>
        <v>35911.73000000001</v>
      </c>
      <c r="J26" s="136">
        <f>-SUMIFS(YtdC,Site,U,AcGr3,"&gt;=300",AcGr3,"&lt;=499",ProdGr3,$A26)</f>
        <v>58112.880000000005</v>
      </c>
      <c r="K26" s="136">
        <f t="shared" si="26"/>
        <v>-22201.149999999994</v>
      </c>
      <c r="L26" s="119">
        <f t="shared" si="27"/>
        <v>34.04730631561802</v>
      </c>
      <c r="M26" s="164">
        <v>212</v>
      </c>
      <c r="N26" s="216" t="s">
        <v>59</v>
      </c>
      <c r="O26" s="153">
        <f>IF(U="*",-SUMIFS(YtdT,Site,U,AcGr3,$M26),0)</f>
        <v>0</v>
      </c>
      <c r="P26" s="153">
        <f aca="true" t="shared" si="31" ref="P26:P27">O26-Q26</f>
        <v>0</v>
      </c>
      <c r="Q26" s="153">
        <f>IF(U="*",-SUMIFS(OB,Site,U,AcGr3,$M26),0)</f>
        <v>0</v>
      </c>
      <c r="R26" s="166"/>
      <c r="W26" s="402"/>
    </row>
    <row r="27" spans="1:23" ht="11.25" customHeight="1">
      <c r="A27" s="163">
        <v>140</v>
      </c>
      <c r="B27" s="90">
        <f>MAX(B$6:B26)+1</f>
        <v>19</v>
      </c>
      <c r="C27" s="113" t="s">
        <v>512</v>
      </c>
      <c r="D27" s="135">
        <f t="shared" si="28"/>
        <v>14219.880000000001</v>
      </c>
      <c r="E27" s="135">
        <f>-SUMIFS(PrC,Site,U,AcGr3,"&gt;=300",AcGr3,"&lt;=499",ProdGr3,$A27)</f>
        <v>67429.98999999999</v>
      </c>
      <c r="F27" s="135">
        <f aca="true" t="shared" si="32" ref="F27">D27-E27</f>
        <v>-53210.109999999986</v>
      </c>
      <c r="G27" s="118">
        <f t="shared" si="29"/>
        <v>27.533233784298723</v>
      </c>
      <c r="H27" s="72"/>
      <c r="I27" s="136">
        <f t="shared" si="30"/>
        <v>395205.97999999986</v>
      </c>
      <c r="J27" s="136">
        <f>-SUMIFS(YtdC,Site,U,AcGr3,"&gt;=300",AcGr3,"&lt;=499",ProdGr3,$A27)</f>
        <v>408442.9099999996</v>
      </c>
      <c r="K27" s="136">
        <f aca="true" t="shared" si="33" ref="K27">I27-J27</f>
        <v>-13236.92999999976</v>
      </c>
      <c r="L27" s="119">
        <f t="shared" si="27"/>
        <v>51.98810242916651</v>
      </c>
      <c r="M27" s="164">
        <v>229</v>
      </c>
      <c r="N27" s="216" t="s">
        <v>61</v>
      </c>
      <c r="O27" s="153">
        <f>IF(U="*",-SUMIFS(YtdT,Site,U,AcGr3,$M27),0)</f>
        <v>0</v>
      </c>
      <c r="P27" s="153">
        <f t="shared" si="31"/>
        <v>0</v>
      </c>
      <c r="Q27" s="153">
        <f>IF(U="*",-SUMIFS(OB,Site,U,AcGr3,$M27),0)</f>
        <v>0</v>
      </c>
      <c r="R27" s="166"/>
      <c r="W27" s="402"/>
    </row>
    <row r="28" spans="1:23" ht="11.25" customHeight="1">
      <c r="A28" s="163">
        <v>160</v>
      </c>
      <c r="B28" s="90">
        <f>MAX(B$6:B27)+1</f>
        <v>20</v>
      </c>
      <c r="C28" s="113" t="s">
        <v>513</v>
      </c>
      <c r="D28" s="135">
        <f t="shared" si="28"/>
        <v>6506.700000000001</v>
      </c>
      <c r="E28" s="135">
        <f>-SUMIFS(PrC,Site,U,AcGr3,"&gt;=300",AcGr3,"&lt;=499",ProdGr3,$A28)</f>
        <v>24180.829999999973</v>
      </c>
      <c r="F28" s="135">
        <f aca="true" t="shared" si="34" ref="F28:F39">D28-E28</f>
        <v>-17674.129999999972</v>
      </c>
      <c r="G28" s="118">
        <f t="shared" si="29"/>
        <v>14.72318924367923</v>
      </c>
      <c r="H28" s="72"/>
      <c r="I28" s="136">
        <f t="shared" si="30"/>
        <v>542929.4199999999</v>
      </c>
      <c r="J28" s="136">
        <f>-SUMIFS(YtdC,Site,U,AcGr3,"&gt;=300",AcGr3,"&lt;=499",ProdGr3,$A28)</f>
        <v>704429.2900000003</v>
      </c>
      <c r="K28" s="136">
        <f aca="true" t="shared" si="35" ref="K28:K39">I28-J28</f>
        <v>-161499.87000000034</v>
      </c>
      <c r="L28" s="119">
        <f t="shared" si="27"/>
        <v>49.706962708431305</v>
      </c>
      <c r="M28" s="164"/>
      <c r="N28" s="217" t="s">
        <v>152</v>
      </c>
      <c r="O28" s="156">
        <f>SUBTOTAL(9,O25:O27)</f>
        <v>0</v>
      </c>
      <c r="P28" s="156">
        <f>SUBTOTAL(9,P25:P27)</f>
        <v>0</v>
      </c>
      <c r="Q28" s="156">
        <f>SUBTOTAL(9,Q25:Q27)</f>
        <v>0</v>
      </c>
      <c r="R28" s="166"/>
      <c r="W28" s="404"/>
    </row>
    <row r="29" spans="1:23" ht="11.25" customHeight="1">
      <c r="A29" s="163">
        <v>161</v>
      </c>
      <c r="B29" s="90">
        <f>MAX(B$6:B28)+1</f>
        <v>21</v>
      </c>
      <c r="C29" s="113" t="s">
        <v>514</v>
      </c>
      <c r="D29" s="135">
        <f t="shared" si="28"/>
        <v>0</v>
      </c>
      <c r="E29" s="135">
        <f>-SUMIFS(PrC,Site,U,AcGr3,"&gt;=300",AcGr3,"&lt;=499",ProdGr3,$A29)</f>
        <v>0</v>
      </c>
      <c r="F29" s="135">
        <f t="shared" si="34"/>
        <v>0</v>
      </c>
      <c r="G29" s="118">
        <f t="shared" si="29"/>
        <v>0</v>
      </c>
      <c r="H29" s="72"/>
      <c r="I29" s="136">
        <f t="shared" si="30"/>
        <v>0</v>
      </c>
      <c r="J29" s="136">
        <f>-SUMIFS(YtdC,Site,U,AcGr3,"&gt;=300",AcGr3,"&lt;=499",ProdGr3,$A29)</f>
        <v>0</v>
      </c>
      <c r="K29" s="136">
        <f t="shared" si="35"/>
        <v>0</v>
      </c>
      <c r="L29" s="119">
        <f t="shared" si="27"/>
        <v>0</v>
      </c>
      <c r="M29" s="164">
        <v>240</v>
      </c>
      <c r="N29" s="216" t="s">
        <v>62</v>
      </c>
      <c r="O29" s="153">
        <f>IF(U="*",-SUMIFS(YtdT,Site,U,AcGr3,$M29),0)</f>
        <v>308312.77</v>
      </c>
      <c r="P29" s="153">
        <f aca="true" t="shared" si="36" ref="P29:P39">O29-Q29</f>
        <v>-261478.54000000004</v>
      </c>
      <c r="Q29" s="153">
        <f>IF(U="*",-SUMIFS(OB,Site,U,AcGr3,$M29),0)</f>
        <v>569791.31</v>
      </c>
      <c r="R29" s="166"/>
      <c r="W29" s="402"/>
    </row>
    <row r="30" spans="1:23" ht="11.25" customHeight="1">
      <c r="A30" s="163">
        <v>170</v>
      </c>
      <c r="B30" s="90">
        <f>MAX(B$6:B29)+1</f>
        <v>22</v>
      </c>
      <c r="C30" s="113" t="s">
        <v>515</v>
      </c>
      <c r="D30" s="135">
        <f t="shared" si="28"/>
        <v>92436.34</v>
      </c>
      <c r="E30" s="135">
        <f>-SUMIFS(PrC,Site,U,AcGr3,"&gt;=300",AcGr3,"&lt;=499",ProdGr3,$A30)</f>
        <v>-66457.77000000002</v>
      </c>
      <c r="F30" s="135">
        <f t="shared" si="34"/>
        <v>158894.11000000002</v>
      </c>
      <c r="G30" s="118">
        <f t="shared" si="29"/>
        <v>237.1547791248324</v>
      </c>
      <c r="H30" s="72"/>
      <c r="I30" s="136">
        <f t="shared" si="30"/>
        <v>286819.06</v>
      </c>
      <c r="J30" s="136">
        <f>-SUMIFS(YtdC,Site,U,AcGr3,"&gt;=300",AcGr3,"&lt;=499",ProdGr3,$A30)</f>
        <v>248533.98999999985</v>
      </c>
      <c r="K30" s="136">
        <f t="shared" si="35"/>
        <v>38285.07000000015</v>
      </c>
      <c r="L30" s="119">
        <f t="shared" si="27"/>
        <v>59.87638810882182</v>
      </c>
      <c r="M30" s="164">
        <v>246</v>
      </c>
      <c r="N30" s="216" t="s">
        <v>91</v>
      </c>
      <c r="O30" s="153">
        <f>IF(U="*",-SUMIFS(YtdT,Site,U,AcGr3,$M30),0)</f>
        <v>212387.15999999997</v>
      </c>
      <c r="P30" s="153">
        <f t="shared" si="36"/>
        <v>38686.419999999955</v>
      </c>
      <c r="Q30" s="153">
        <f>IF(U="*",-SUMIFS(OB,Site,U,AcGr3,$M30),0)</f>
        <v>173700.74000000002</v>
      </c>
      <c r="R30" s="166"/>
      <c r="W30" s="402"/>
    </row>
    <row r="31" spans="1:23" ht="11.25" customHeight="1">
      <c r="A31" s="163">
        <v>180</v>
      </c>
      <c r="B31" s="90">
        <f>MAX(B$6:B30)+1</f>
        <v>23</v>
      </c>
      <c r="C31" s="113" t="s">
        <v>516</v>
      </c>
      <c r="D31" s="135">
        <f t="shared" si="28"/>
        <v>29606.21000000001</v>
      </c>
      <c r="E31" s="135">
        <f>-SUMIFS(PrC,Site,U,AcGr3,"&gt;=300",AcGr3,"&lt;=499",ProdGr3,$A31)</f>
        <v>44887.78999999998</v>
      </c>
      <c r="F31" s="135">
        <f t="shared" si="34"/>
        <v>-15281.579999999969</v>
      </c>
      <c r="G31" s="118">
        <f t="shared" si="29"/>
        <v>22.349167215213576</v>
      </c>
      <c r="H31" s="72"/>
      <c r="I31" s="136">
        <f t="shared" si="30"/>
        <v>476797.72000000015</v>
      </c>
      <c r="J31" s="136">
        <f>-SUMIFS(YtdC,Site,U,AcGr3,"&gt;=300",AcGr3,"&lt;=499",ProdGr3,$A31)</f>
        <v>651665.6699999999</v>
      </c>
      <c r="K31" s="136">
        <f t="shared" si="35"/>
        <v>-174867.94999999978</v>
      </c>
      <c r="L31" s="119">
        <f t="shared" si="27"/>
        <v>30.62824430972293</v>
      </c>
      <c r="M31" s="164">
        <v>247</v>
      </c>
      <c r="N31" s="216" t="s">
        <v>508</v>
      </c>
      <c r="O31" s="153">
        <f aca="true" t="shared" si="37" ref="O31:O39">IF(U="*",-SUMIFS(YtdT,Site,U,AcGr3,$M31),0)</f>
        <v>0</v>
      </c>
      <c r="P31" s="153">
        <f aca="true" t="shared" si="38" ref="P31">O31-Q31</f>
        <v>0</v>
      </c>
      <c r="Q31" s="153">
        <f aca="true" t="shared" si="39" ref="Q31:Q39">IF(U="*",-SUMIFS(OB,Site,U,AcGr3,$M31),0)</f>
        <v>0</v>
      </c>
      <c r="R31" s="166"/>
      <c r="W31" s="402"/>
    </row>
    <row r="32" spans="1:23" ht="11.25" customHeight="1">
      <c r="A32" s="163">
        <v>190</v>
      </c>
      <c r="B32" s="90">
        <f>MAX(B$6:B31)+1</f>
        <v>24</v>
      </c>
      <c r="C32" s="113" t="s">
        <v>517</v>
      </c>
      <c r="D32" s="135">
        <f t="shared" si="28"/>
        <v>-146085.63</v>
      </c>
      <c r="E32" s="135">
        <f>-SUMIFS(PrC,Site,U,AcGr3,"&gt;=300",AcGr3,"&lt;=499",ProdGr3,$A32)</f>
        <v>-134776.72</v>
      </c>
      <c r="F32" s="135">
        <f t="shared" si="34"/>
        <v>-11308.910000000003</v>
      </c>
      <c r="G32" s="118">
        <f t="shared" si="29"/>
        <v>-296.9904648754408</v>
      </c>
      <c r="H32" s="72"/>
      <c r="I32" s="136">
        <f t="shared" si="30"/>
        <v>-10988.740000000042</v>
      </c>
      <c r="J32" s="136">
        <f>-SUMIFS(YtdC,Site,U,AcGr3,"&gt;=300",AcGr3,"&lt;=499",ProdGr3,$A32)</f>
        <v>-8501.499999999825</v>
      </c>
      <c r="K32" s="136">
        <f t="shared" si="35"/>
        <v>-2487.2400000002162</v>
      </c>
      <c r="L32" s="119">
        <f t="shared" si="27"/>
        <v>-2.166919154512</v>
      </c>
      <c r="M32" s="164">
        <v>260</v>
      </c>
      <c r="N32" s="216" t="s">
        <v>66</v>
      </c>
      <c r="O32" s="153">
        <f t="shared" si="37"/>
        <v>193105.33000000002</v>
      </c>
      <c r="P32" s="153">
        <f t="shared" si="36"/>
        <v>-5585.479999999981</v>
      </c>
      <c r="Q32" s="153">
        <f t="shared" si="39"/>
        <v>198690.81</v>
      </c>
      <c r="R32" s="166"/>
      <c r="W32" s="402"/>
    </row>
    <row r="33" spans="1:23" ht="11.25" customHeight="1">
      <c r="A33" s="163">
        <v>200</v>
      </c>
      <c r="B33" s="90">
        <f>MAX(B$6:B32)+1</f>
        <v>25</v>
      </c>
      <c r="C33" s="113" t="s">
        <v>518</v>
      </c>
      <c r="D33" s="135">
        <f t="shared" si="28"/>
        <v>174217.27</v>
      </c>
      <c r="E33" s="135">
        <f>-SUMIFS(PrC,Site,U,AcGr3,"&gt;=300",AcGr3,"&lt;=499",ProdGr3,$A33)</f>
        <v>191574.47999999992</v>
      </c>
      <c r="F33" s="135">
        <f t="shared" si="34"/>
        <v>-17357.209999999934</v>
      </c>
      <c r="G33" s="118">
        <f t="shared" si="29"/>
        <v>135.87898672090057</v>
      </c>
      <c r="H33" s="72"/>
      <c r="I33" s="136">
        <f t="shared" si="30"/>
        <v>806733.6500000001</v>
      </c>
      <c r="J33" s="136">
        <f>-SUMIFS(YtdC,Site,U,AcGr3,"&gt;=300",AcGr3,"&lt;=499",ProdGr3,$A33)</f>
        <v>975303.25</v>
      </c>
      <c r="K33" s="136">
        <f t="shared" si="35"/>
        <v>-168569.59999999986</v>
      </c>
      <c r="L33" s="119">
        <f t="shared" si="27"/>
        <v>58.440639851299956</v>
      </c>
      <c r="M33" s="164">
        <v>270</v>
      </c>
      <c r="N33" s="216" t="s">
        <v>68</v>
      </c>
      <c r="O33" s="153">
        <f t="shared" si="37"/>
        <v>146636.4000000001</v>
      </c>
      <c r="P33" s="153">
        <f t="shared" si="36"/>
        <v>41148.140000000116</v>
      </c>
      <c r="Q33" s="153">
        <f t="shared" si="39"/>
        <v>105488.26</v>
      </c>
      <c r="R33" s="166"/>
      <c r="W33" s="402"/>
    </row>
    <row r="34" spans="1:23" ht="11.25" customHeight="1">
      <c r="A34" s="163">
        <v>210</v>
      </c>
      <c r="B34" s="90">
        <f>MAX(B$6:B32)+1</f>
        <v>25</v>
      </c>
      <c r="C34" s="113" t="s">
        <v>519</v>
      </c>
      <c r="D34" s="135">
        <f t="shared" si="28"/>
        <v>94774.62</v>
      </c>
      <c r="E34" s="135">
        <f>-SUMIFS(PrC,Site,U,AcGr3,"&gt;=300",AcGr3,"&lt;=499",ProdGr3,$A34)</f>
        <v>93270.32</v>
      </c>
      <c r="F34" s="135">
        <f t="shared" si="34"/>
        <v>1504.2999999999884</v>
      </c>
      <c r="G34" s="118">
        <f t="shared" si="29"/>
        <v>116.05319353586937</v>
      </c>
      <c r="H34" s="72"/>
      <c r="I34" s="136">
        <f t="shared" si="30"/>
        <v>841808.37</v>
      </c>
      <c r="J34" s="136">
        <f>-SUMIFS(YtdC,Site,U,AcGr3,"&gt;=300",AcGr3,"&lt;=499",ProdGr3,$A34)</f>
        <v>1037906.6599999998</v>
      </c>
      <c r="K34" s="136">
        <f t="shared" si="35"/>
        <v>-196098.2899999998</v>
      </c>
      <c r="L34" s="119">
        <f t="shared" si="27"/>
        <v>79.89395355227356</v>
      </c>
      <c r="M34" s="164">
        <v>294</v>
      </c>
      <c r="N34" s="216" t="s">
        <v>70</v>
      </c>
      <c r="O34" s="153">
        <f t="shared" si="37"/>
        <v>300024.35</v>
      </c>
      <c r="P34" s="153">
        <f t="shared" si="36"/>
        <v>-25113.650000000023</v>
      </c>
      <c r="Q34" s="153">
        <f t="shared" si="39"/>
        <v>325138</v>
      </c>
      <c r="R34" s="166"/>
      <c r="W34" s="402"/>
    </row>
    <row r="35" spans="1:23" ht="11.25" customHeight="1">
      <c r="A35" s="163">
        <v>211</v>
      </c>
      <c r="B35" s="90">
        <f>MAX(B$6:B33)+1</f>
        <v>26</v>
      </c>
      <c r="C35" s="113" t="s">
        <v>520</v>
      </c>
      <c r="D35" s="135">
        <f t="shared" si="28"/>
        <v>11409</v>
      </c>
      <c r="E35" s="135">
        <f>-SUMIFS(PrC,Site,U,AcGr3,"&gt;=300",AcGr3,"&lt;=499",ProdGr3,$A35)</f>
        <v>56109.48</v>
      </c>
      <c r="F35" s="135">
        <f t="shared" si="34"/>
        <v>-44700.48</v>
      </c>
      <c r="G35" s="118">
        <f t="shared" si="29"/>
        <v>625.4934210526316</v>
      </c>
      <c r="H35" s="72"/>
      <c r="I35" s="136">
        <f t="shared" si="30"/>
        <v>150973.6</v>
      </c>
      <c r="J35" s="136">
        <f>-SUMIFS(YtdC,Site,U,AcGr3,"&gt;=300",AcGr3,"&lt;=499",ProdGr3,$A35)</f>
        <v>180451.95</v>
      </c>
      <c r="K35" s="136">
        <f t="shared" si="35"/>
        <v>-29478.350000000006</v>
      </c>
      <c r="L35" s="119">
        <f t="shared" si="27"/>
        <v>100</v>
      </c>
      <c r="M35" s="164">
        <v>295</v>
      </c>
      <c r="N35" s="216" t="s">
        <v>72</v>
      </c>
      <c r="O35" s="153">
        <f t="shared" si="37"/>
        <v>0</v>
      </c>
      <c r="P35" s="153">
        <f t="shared" si="36"/>
        <v>0</v>
      </c>
      <c r="Q35" s="153">
        <f t="shared" si="39"/>
        <v>0</v>
      </c>
      <c r="R35" s="166"/>
      <c r="W35" s="402"/>
    </row>
    <row r="36" spans="1:23" ht="11.25" customHeight="1">
      <c r="A36" s="163">
        <v>220</v>
      </c>
      <c r="B36" s="90">
        <f>MAX(B$6:B35)+1</f>
        <v>27</v>
      </c>
      <c r="C36" s="113" t="s">
        <v>521</v>
      </c>
      <c r="D36" s="135">
        <f t="shared" si="28"/>
        <v>0</v>
      </c>
      <c r="E36" s="135">
        <f>-SUMIFS(PrC,Site,U,AcGr3,"&gt;=300",AcGr3,"&lt;=499",ProdGr3,$A36)</f>
        <v>0</v>
      </c>
      <c r="F36" s="135">
        <f t="shared" si="34"/>
        <v>0</v>
      </c>
      <c r="G36" s="118">
        <f t="shared" si="29"/>
        <v>0</v>
      </c>
      <c r="H36" s="72"/>
      <c r="I36" s="136">
        <f t="shared" si="30"/>
        <v>0</v>
      </c>
      <c r="J36" s="136">
        <f>-SUMIFS(YtdC,Site,U,AcGr3,"&gt;=300",AcGr3,"&lt;=499",ProdGr3,$A36)</f>
        <v>33520</v>
      </c>
      <c r="K36" s="136">
        <f t="shared" si="35"/>
        <v>-33520</v>
      </c>
      <c r="L36" s="119">
        <f t="shared" si="27"/>
        <v>0</v>
      </c>
      <c r="M36" s="164">
        <v>296</v>
      </c>
      <c r="N36" s="216" t="s">
        <v>74</v>
      </c>
      <c r="O36" s="153">
        <f t="shared" si="37"/>
        <v>0</v>
      </c>
      <c r="P36" s="153">
        <f t="shared" si="36"/>
        <v>0</v>
      </c>
      <c r="Q36" s="153">
        <f t="shared" si="39"/>
        <v>0</v>
      </c>
      <c r="R36" s="166"/>
      <c r="W36" s="402"/>
    </row>
    <row r="37" spans="1:23" ht="11.25" customHeight="1">
      <c r="A37" s="163">
        <v>250</v>
      </c>
      <c r="B37" s="90">
        <f>MAX(B$6:B36)+1</f>
        <v>28</v>
      </c>
      <c r="C37" s="113" t="s">
        <v>522</v>
      </c>
      <c r="D37" s="135">
        <f t="shared" si="28"/>
        <v>-5571.97</v>
      </c>
      <c r="E37" s="135">
        <f>-SUMIFS(PrC,Site,U,AcGr3,"&gt;=300",AcGr3,"&lt;=499",ProdGr3,$A37)</f>
        <v>-2685.1499999999996</v>
      </c>
      <c r="F37" s="135">
        <f t="shared" si="34"/>
        <v>-2886.8200000000006</v>
      </c>
      <c r="G37" s="118">
        <f t="shared" si="29"/>
        <v>-228.2144539329524</v>
      </c>
      <c r="H37" s="72"/>
      <c r="I37" s="136">
        <f t="shared" si="30"/>
        <v>-5324.609999999993</v>
      </c>
      <c r="J37" s="136">
        <f>-SUMIFS(YtdC,Site,U,AcGr3,"&gt;=300",AcGr3,"&lt;=499",ProdGr3,$A37)</f>
        <v>-1038.8899999999994</v>
      </c>
      <c r="K37" s="136">
        <f t="shared" si="35"/>
        <v>-4285.719999999994</v>
      </c>
      <c r="L37" s="119">
        <f t="shared" si="27"/>
        <v>-14.089285246498504</v>
      </c>
      <c r="M37" s="164">
        <v>298</v>
      </c>
      <c r="N37" s="216" t="s">
        <v>75</v>
      </c>
      <c r="O37" s="153">
        <f t="shared" si="37"/>
        <v>19000</v>
      </c>
      <c r="P37" s="153">
        <f t="shared" si="36"/>
        <v>0</v>
      </c>
      <c r="Q37" s="153">
        <f t="shared" si="39"/>
        <v>19000</v>
      </c>
      <c r="R37" s="166"/>
      <c r="W37" s="402"/>
    </row>
    <row r="38" spans="1:23" ht="11.25" customHeight="1">
      <c r="A38" s="163">
        <v>40</v>
      </c>
      <c r="B38" s="90">
        <f>MAX(B$6:B37)+1</f>
        <v>29</v>
      </c>
      <c r="C38" s="112" t="s">
        <v>589</v>
      </c>
      <c r="D38" s="133">
        <f>-SUMIFS(PrT,Site,U,AcGr3,"&gt;=300",AcGr3,"&lt;=499",ProdGr1,$A38)</f>
        <v>352685.8800000003</v>
      </c>
      <c r="E38" s="133">
        <f>-SUMIFS(PrC,Site,U,AcGr3,"&gt;=300",AcGr3,"&lt;=499",ProdGr1,$A38)</f>
        <v>407427.23999999976</v>
      </c>
      <c r="F38" s="133">
        <f t="shared" si="34"/>
        <v>-54741.35999999946</v>
      </c>
      <c r="G38" s="116">
        <f t="shared" si="29"/>
        <v>47.988716063632424</v>
      </c>
      <c r="H38" s="72"/>
      <c r="I38" s="134">
        <f>-SUMIFS(YtdT,Site,U,AcGr3,"&gt;=300",AcGr3,"&lt;=499",ProdGr1,$A38)</f>
        <v>4782475.1099999985</v>
      </c>
      <c r="J38" s="134">
        <f>-SUMIFS(YtdC,Site,U,AcGr3,"&gt;=300",AcGr3,"&lt;=499",ProdGr1,$A38)</f>
        <v>5686671.9999999935</v>
      </c>
      <c r="K38" s="134">
        <f t="shared" si="35"/>
        <v>-904196.889999995</v>
      </c>
      <c r="L38" s="117">
        <f t="shared" si="27"/>
        <v>50.18785667000568</v>
      </c>
      <c r="M38" s="164">
        <v>250</v>
      </c>
      <c r="N38" s="216" t="s">
        <v>76</v>
      </c>
      <c r="O38" s="153">
        <f t="shared" si="37"/>
        <v>0</v>
      </c>
      <c r="P38" s="153">
        <f t="shared" si="36"/>
        <v>-301978</v>
      </c>
      <c r="Q38" s="153">
        <f t="shared" si="39"/>
        <v>301978</v>
      </c>
      <c r="R38" s="166"/>
      <c r="W38" s="402"/>
    </row>
    <row r="39" spans="2:23" ht="11.25" customHeight="1">
      <c r="B39" s="90">
        <f>MAX(B$6:B38)+1</f>
        <v>30</v>
      </c>
      <c r="C39" s="111" t="s">
        <v>591</v>
      </c>
      <c r="D39" s="137">
        <f>-SUMIFS(PrT,Site,U,AcGr3,"&gt;=300",AcGr3,"&lt;=499")</f>
        <v>409326.2699999988</v>
      </c>
      <c r="E39" s="137">
        <f>-SUMIFS(PrC,Site,U,AcGr3,"&gt;=300",AcGr3,"&lt;=499")</f>
        <v>435950.69999999995</v>
      </c>
      <c r="F39" s="137">
        <f t="shared" si="34"/>
        <v>-26624.430000001157</v>
      </c>
      <c r="G39" s="120">
        <f t="shared" si="29"/>
        <v>16.900659021053652</v>
      </c>
      <c r="H39" s="72"/>
      <c r="I39" s="138">
        <f>-SUMIFS(YtdT,Site,U,AcGr3,"&gt;=300",AcGr3,"&lt;=499")</f>
        <v>5937222.699999984</v>
      </c>
      <c r="J39" s="138">
        <f>-SUMIFS(YtdC,Site,U,AcGr3,"&gt;=300",AcGr3,"&lt;=499")</f>
        <v>7018201.379999998</v>
      </c>
      <c r="K39" s="138">
        <f t="shared" si="35"/>
        <v>-1080978.6800000137</v>
      </c>
      <c r="L39" s="121">
        <f t="shared" si="27"/>
        <v>17.170858101005535</v>
      </c>
      <c r="M39" s="164">
        <v>299</v>
      </c>
      <c r="N39" s="216" t="s">
        <v>78</v>
      </c>
      <c r="O39" s="153">
        <f t="shared" si="37"/>
        <v>1513000</v>
      </c>
      <c r="P39" s="153">
        <f t="shared" si="36"/>
        <v>0</v>
      </c>
      <c r="Q39" s="153">
        <f t="shared" si="39"/>
        <v>1513000</v>
      </c>
      <c r="R39" s="166"/>
      <c r="W39" s="402"/>
    </row>
    <row r="40" spans="2:23" ht="11.25" customHeight="1">
      <c r="B40" s="90"/>
      <c r="C40" s="90"/>
      <c r="D40" s="91"/>
      <c r="E40" s="91"/>
      <c r="F40" s="91"/>
      <c r="G40" s="122"/>
      <c r="H40" s="140"/>
      <c r="I40" s="91"/>
      <c r="J40" s="91"/>
      <c r="K40" s="91"/>
      <c r="L40" s="122"/>
      <c r="M40" s="164"/>
      <c r="N40" s="217" t="s">
        <v>80</v>
      </c>
      <c r="O40" s="156">
        <f>SUBTOTAL(9,O29:O39)</f>
        <v>2692466.0100000002</v>
      </c>
      <c r="P40" s="156">
        <f>SUBTOTAL(9,P29:P39)</f>
        <v>-514321.11</v>
      </c>
      <c r="Q40" s="156">
        <f>SUBTOTAL(9,Q29:Q39)</f>
        <v>3206787.12</v>
      </c>
      <c r="R40" s="166"/>
      <c r="W40" s="404"/>
    </row>
    <row r="41" spans="2:23" ht="11.25" customHeight="1">
      <c r="B41" s="90"/>
      <c r="C41" s="97" t="s">
        <v>585</v>
      </c>
      <c r="D41" s="98" t="str">
        <f>BudgetReport</f>
        <v>Regnskap</v>
      </c>
      <c r="E41" s="98" t="str">
        <f>Comparison</f>
        <v>I fjor</v>
      </c>
      <c r="F41" s="98" t="s">
        <v>85</v>
      </c>
      <c r="G41" s="123" t="s">
        <v>153</v>
      </c>
      <c r="H41" s="141"/>
      <c r="I41" s="99" t="str">
        <f>BudgetReport</f>
        <v>Regnskap</v>
      </c>
      <c r="J41" s="99" t="str">
        <f>Comparison</f>
        <v>I fjor</v>
      </c>
      <c r="K41" s="99" t="s">
        <v>85</v>
      </c>
      <c r="L41" s="124" t="s">
        <v>153</v>
      </c>
      <c r="M41" s="164"/>
      <c r="N41" s="150" t="s">
        <v>587</v>
      </c>
      <c r="O41" s="159">
        <f>SUBTOTAL(9,O23:O39)</f>
        <v>6611980.189999986</v>
      </c>
      <c r="P41" s="159">
        <f>SUBTOTAL(9,P23:P39)</f>
        <v>-196424.1900000146</v>
      </c>
      <c r="Q41" s="159">
        <f>SUBTOTAL(9,Q23:Q39)</f>
        <v>6808404.38</v>
      </c>
      <c r="R41" s="166"/>
      <c r="W41" s="403"/>
    </row>
    <row r="42" spans="2:17" ht="11.25" customHeight="1">
      <c r="B42" s="90">
        <f>MAX(B$6:B41)+1</f>
        <v>31</v>
      </c>
      <c r="C42" s="66" t="s">
        <v>432</v>
      </c>
      <c r="D42" s="142">
        <f>SUMIFS(PrT,Site,U,AcGr3,"&gt;=500",AcGr3,"&lt;=599")-D43</f>
        <v>319437.29</v>
      </c>
      <c r="E42" s="142">
        <f>SUMIFS(PrC,Site,U,AcGr3,"&gt;=500",AcGr3,"&lt;=599")-E43</f>
        <v>313814.89999999997</v>
      </c>
      <c r="F42" s="142">
        <f aca="true" t="shared" si="40" ref="F42:F49">D42-E42</f>
        <v>5622.390000000014</v>
      </c>
      <c r="G42" s="125">
        <f aca="true" t="shared" si="41" ref="G42:G50">_xlfn.IFERROR(100*D42/D$39,0)</f>
        <v>78.0397725266939</v>
      </c>
      <c r="H42" s="72"/>
      <c r="I42" s="136">
        <f>SUMIFS(YtdT,Site,U,AcGr3,"&gt;=500",AcGr3,"&lt;=599")-I43</f>
        <v>3278977.34</v>
      </c>
      <c r="J42" s="136">
        <f>SUMIFS(YtdC,Site,U,AcGr3,"&gt;=500",AcGr3,"&lt;=599")-J43</f>
        <v>3590401.8000000003</v>
      </c>
      <c r="K42" s="136">
        <f aca="true" t="shared" si="42" ref="K42:K49">I42-J42</f>
        <v>-311424.4600000004</v>
      </c>
      <c r="L42" s="119">
        <f aca="true" t="shared" si="43" ref="L42:L53">_xlfn.IFERROR(100*I42/I$39,0)</f>
        <v>55.22746081261207</v>
      </c>
      <c r="N42" s="75"/>
      <c r="O42" s="76"/>
      <c r="P42" s="76"/>
      <c r="Q42" s="76"/>
    </row>
    <row r="43" spans="2:17" ht="11.25" customHeight="1">
      <c r="B43" s="90">
        <f>MAX(B$6:B42)+1</f>
        <v>32</v>
      </c>
      <c r="C43" s="66" t="s">
        <v>431</v>
      </c>
      <c r="D43" s="142">
        <f>IF(OR(U="*",U=9900),SUMIFS(PrT,Site,9900,AcGr3,"&gt;=500",AcGr3,"&lt;=599"),0)</f>
        <v>0</v>
      </c>
      <c r="E43" s="142">
        <f>IF(OR(U="*",U=9900),SUMIFS(PrC,Site,9900,AcGr3,"&gt;=500",AcGr3,"&lt;=599"),0)</f>
        <v>0</v>
      </c>
      <c r="F43" s="142">
        <f t="shared" si="40"/>
        <v>0</v>
      </c>
      <c r="G43" s="125">
        <f t="shared" si="41"/>
        <v>0</v>
      </c>
      <c r="H43" s="72"/>
      <c r="I43" s="136">
        <f>IF(OR(U="*",U=9900),SUMIFS(YtdT,Site,9900,AcGr3,"&gt;=500",AcGr3,"&lt;=599"),0)</f>
        <v>0</v>
      </c>
      <c r="J43" s="136">
        <f>IF(OR(U="*",U=9900),SUMIFS(YtdC,Site,9900,AcGr3,"&gt;=500",AcGr3,"&lt;=599"),0)</f>
        <v>0</v>
      </c>
      <c r="K43" s="136">
        <f t="shared" si="42"/>
        <v>0</v>
      </c>
      <c r="L43" s="119">
        <f t="shared" si="43"/>
        <v>0</v>
      </c>
      <c r="N43" s="75"/>
      <c r="O43" s="77">
        <f>O20-O41</f>
        <v>1.30385160446167E-08</v>
      </c>
      <c r="P43" s="77">
        <f>P20-P41</f>
        <v>1.4435499906539917E-08</v>
      </c>
      <c r="Q43" s="77">
        <f>Q20-Q41</f>
        <v>0</v>
      </c>
    </row>
    <row r="44" spans="1:23" s="92" customFormat="1" ht="11.25" customHeight="1">
      <c r="A44" s="162"/>
      <c r="B44" s="90">
        <f>MAX(B$6:B43)+1</f>
        <v>33</v>
      </c>
      <c r="C44" s="66" t="str">
        <f>IF(COUNTIF(AcGr3,622)&gt;0,"Royalty","Leie")&amp;IF(SUMIFS(YtdC,Site,U,AcGr3,623)," / FSA","")</f>
        <v>Leie</v>
      </c>
      <c r="D44" s="142">
        <f>SUMIFS(PrT,Site,U,AcGr3,"&gt;=621",AcGr3,"&lt;=623")</f>
        <v>55600</v>
      </c>
      <c r="E44" s="142">
        <f>SUMIFS(PrC,Site,U,AcGr3,"&gt;=621",AcGr3,"&lt;=623")</f>
        <v>52825</v>
      </c>
      <c r="F44" s="142">
        <f aca="true" t="shared" si="44" ref="F44">D44-E44</f>
        <v>2775</v>
      </c>
      <c r="G44" s="125">
        <f aca="true" t="shared" si="45" ref="G44">_xlfn.IFERROR(100*D44/D$39,0)</f>
        <v>13.583296278540873</v>
      </c>
      <c r="H44" s="72"/>
      <c r="I44" s="136">
        <f>SUMIFS(YtdT,Site,U,AcGr3,"&gt;=621",AcGr3,"&lt;=623")</f>
        <v>667200</v>
      </c>
      <c r="J44" s="136">
        <f>SUMIFS(YtdC,Site,U,AcGr3,"&gt;=621",AcGr3,"&lt;=623")</f>
        <v>633900</v>
      </c>
      <c r="K44" s="136">
        <f aca="true" t="shared" si="46" ref="K44">I44-J44</f>
        <v>33300</v>
      </c>
      <c r="L44" s="119">
        <f aca="true" t="shared" si="47" ref="L44">_xlfn.IFERROR(100*I44/I$39,0)</f>
        <v>11.237577461933537</v>
      </c>
      <c r="R44" s="165"/>
      <c r="S44" s="165"/>
      <c r="T44" s="165"/>
      <c r="U44" s="165"/>
      <c r="V44" s="165"/>
      <c r="W44" s="165"/>
    </row>
    <row r="45" spans="1:23" s="92" customFormat="1" ht="11.25" customHeight="1">
      <c r="A45" s="162"/>
      <c r="B45" s="90">
        <f>MAX(B$6:B44)+1</f>
        <v>34</v>
      </c>
      <c r="C45" s="66" t="s">
        <v>434</v>
      </c>
      <c r="D45" s="142">
        <f>SUMIFS(PrT,Site,U,AcGr3,"&gt;=600",AcGr3,"&lt;=789")-D46-D44</f>
        <v>144536.11000000004</v>
      </c>
      <c r="E45" s="142">
        <f>SUMIFS(PrC,Site,U,AcGr3,"&gt;=600",AcGr3,"&lt;=789")-E46-E44</f>
        <v>152005.06000000003</v>
      </c>
      <c r="F45" s="142">
        <f t="shared" si="40"/>
        <v>-7468.9499999999825</v>
      </c>
      <c r="G45" s="125">
        <f t="shared" si="41"/>
        <v>35.310733904276525</v>
      </c>
      <c r="H45" s="72"/>
      <c r="I45" s="136">
        <f>SUMIFS(YtdT,Site,U,AcGr3,"&gt;=600",AcGr3,"&lt;=789")-I46-I44</f>
        <v>1506252.2399999998</v>
      </c>
      <c r="J45" s="136">
        <f>SUMIFS(YtdC,Site,U,AcGr3,"&gt;=600",AcGr3,"&lt;=789")-J46-J44</f>
        <v>1307896.5000000002</v>
      </c>
      <c r="K45" s="136">
        <f t="shared" si="42"/>
        <v>198355.73999999953</v>
      </c>
      <c r="L45" s="119">
        <f t="shared" si="43"/>
        <v>25.369643621419215</v>
      </c>
      <c r="N45" s="93" t="s">
        <v>157</v>
      </c>
      <c r="O45" s="94"/>
      <c r="P45" s="94"/>
      <c r="R45" s="165"/>
      <c r="S45" s="165"/>
      <c r="T45" s="165"/>
      <c r="U45" s="165"/>
      <c r="V45" s="165"/>
      <c r="W45" s="165"/>
    </row>
    <row r="46" spans="1:23" s="92" customFormat="1" ht="11.25" customHeight="1">
      <c r="A46" s="162"/>
      <c r="B46" s="90">
        <f>MAX(B$6:B45)+1</f>
        <v>35</v>
      </c>
      <c r="C46" s="66" t="s">
        <v>435</v>
      </c>
      <c r="D46" s="142">
        <f>IF(OR(U="*",U=9900),SUMIFS(PrT,Site,9900,AcGr3,"&gt;=600",AcGr3,"&lt;=789"),0)</f>
        <v>0</v>
      </c>
      <c r="E46" s="142">
        <f>IF(OR(U="*",U=9900),SUMIFS(PrC,Site,9900,AcGr3,"&gt;=600",AcGr3,"&lt;=789"),0)</f>
        <v>0</v>
      </c>
      <c r="F46" s="142">
        <f t="shared" si="40"/>
        <v>0</v>
      </c>
      <c r="G46" s="125">
        <f t="shared" si="41"/>
        <v>0</v>
      </c>
      <c r="H46" s="72"/>
      <c r="I46" s="136">
        <f>IF(OR(U="*",U=9900),SUMIFS(YtdT,Site,9900,AcGr3,"&gt;=600",AcGr3,"&lt;=789"),0)</f>
        <v>0</v>
      </c>
      <c r="J46" s="136">
        <f>IF(OR(U="*",U=9900),SUMIFS(YtdC,Site,9900,AcGr3,"&gt;=600",AcGr3,"&lt;=789"),0)</f>
        <v>0</v>
      </c>
      <c r="K46" s="136">
        <f t="shared" si="42"/>
        <v>0</v>
      </c>
      <c r="L46" s="119">
        <f t="shared" si="43"/>
        <v>0</v>
      </c>
      <c r="N46" s="92" t="s">
        <v>156</v>
      </c>
      <c r="P46" s="95">
        <f>_xlfn.IFERROR(I53/I21,"")</f>
        <v>0.009193798481007747</v>
      </c>
      <c r="R46" s="165"/>
      <c r="S46" s="165"/>
      <c r="T46" s="165"/>
      <c r="U46" s="165"/>
      <c r="V46" s="165"/>
      <c r="W46" s="165"/>
    </row>
    <row r="47" spans="1:23" s="92" customFormat="1" ht="11.25" customHeight="1">
      <c r="A47" s="162">
        <v>790</v>
      </c>
      <c r="B47" s="90">
        <f>MAX(B$6:B46)+1</f>
        <v>36</v>
      </c>
      <c r="C47" s="109" t="s">
        <v>73</v>
      </c>
      <c r="D47" s="143">
        <f>SUMIFS(PrT,Site,U,AcGr3,$A47)</f>
        <v>20023.08</v>
      </c>
      <c r="E47" s="143">
        <f>SUMIFS(PrC,Site,U,AcGr3,$A47)</f>
        <v>89537.4</v>
      </c>
      <c r="F47" s="143">
        <f t="shared" si="40"/>
        <v>-69514.31999999999</v>
      </c>
      <c r="G47" s="126">
        <f t="shared" si="41"/>
        <v>4.8917163318152195</v>
      </c>
      <c r="H47" s="72"/>
      <c r="I47" s="136">
        <f>SUMIFS(YtdT,Site,U,AcGr3,$A47)</f>
        <v>189104.87</v>
      </c>
      <c r="J47" s="136">
        <f>SUMIFS(YtdC,Site,U,AcGr3,$A47)</f>
        <v>150600</v>
      </c>
      <c r="K47" s="136">
        <f t="shared" si="42"/>
        <v>38504.869999999995</v>
      </c>
      <c r="L47" s="119">
        <f t="shared" si="43"/>
        <v>3.185072879277385</v>
      </c>
      <c r="N47" s="92" t="s">
        <v>159</v>
      </c>
      <c r="P47" s="95">
        <f>_xlfn.IFERROR(O25/O41,"")</f>
        <v>0.5927897645440455</v>
      </c>
      <c r="R47" s="165"/>
      <c r="S47" s="165"/>
      <c r="T47" s="165"/>
      <c r="U47" s="165"/>
      <c r="V47" s="165"/>
      <c r="W47" s="165"/>
    </row>
    <row r="48" spans="1:23" s="92" customFormat="1" ht="11.25" customHeight="1">
      <c r="A48" s="162"/>
      <c r="B48" s="90">
        <f>MAX(B$6:B47)+1</f>
        <v>37</v>
      </c>
      <c r="C48" s="110" t="s">
        <v>592</v>
      </c>
      <c r="D48" s="144">
        <f>SUMIFS(PrT,Site,U,AcGr3,"&gt;=500",AcGr3,"&lt;=799")</f>
        <v>539596.4800000002</v>
      </c>
      <c r="E48" s="144">
        <f>SUMIFS(PrC,Site,U,AcGr3,"&gt;=500",AcGr3,"&lt;=799")</f>
        <v>608182.3600000001</v>
      </c>
      <c r="F48" s="144">
        <f t="shared" si="40"/>
        <v>-68585.87999999989</v>
      </c>
      <c r="G48" s="127">
        <f t="shared" si="41"/>
        <v>131.82551904132657</v>
      </c>
      <c r="H48" s="145"/>
      <c r="I48" s="146">
        <f>SUMIFS(YtdT,Site,U,AcGr3,"&gt;=500",AcGr3,"&lt;=799")</f>
        <v>5641534.45</v>
      </c>
      <c r="J48" s="146">
        <f>SUMIFS(YtdC,Site,U,AcGr3,"&gt;=500",AcGr3,"&lt;=799")</f>
        <v>5682798.299999998</v>
      </c>
      <c r="K48" s="146">
        <f t="shared" si="42"/>
        <v>-41263.849999997765</v>
      </c>
      <c r="L48" s="128">
        <f t="shared" si="43"/>
        <v>95.01975477524222</v>
      </c>
      <c r="N48" s="92" t="s">
        <v>158</v>
      </c>
      <c r="P48" s="96">
        <f>_xlfn.IFERROR(O19/O40,"")</f>
        <v>1.873535291166034</v>
      </c>
      <c r="R48" s="165"/>
      <c r="S48" s="165"/>
      <c r="T48" s="165"/>
      <c r="U48" s="165"/>
      <c r="V48" s="165"/>
      <c r="W48" s="165"/>
    </row>
    <row r="49" spans="1:23" s="92" customFormat="1" ht="11.25" customHeight="1">
      <c r="A49" s="162"/>
      <c r="B49" s="90">
        <f>MAX(B$6:B48)+1</f>
        <v>38</v>
      </c>
      <c r="C49" s="108" t="s">
        <v>146</v>
      </c>
      <c r="D49" s="147">
        <f>SUMIFS(PrT,Site,U,AcGr3,"&gt;=800",AcGr3,"&lt;=819")</f>
        <v>-2864.58</v>
      </c>
      <c r="E49" s="147">
        <f>SUMIFS(PrC,Site,U,AcGr3,"&gt;=800",AcGr3,"&lt;=819")</f>
        <v>-44218</v>
      </c>
      <c r="F49" s="147">
        <f t="shared" si="40"/>
        <v>41353.42</v>
      </c>
      <c r="G49" s="129">
        <f t="shared" si="41"/>
        <v>-0.6998280369349391</v>
      </c>
      <c r="H49" s="72"/>
      <c r="I49" s="134">
        <f>SUMIFS(YtdT,Site,U,AcGr3,"&gt;=800",AcGr3,"&lt;=819")</f>
        <v>-6559.1</v>
      </c>
      <c r="J49" s="134">
        <f>SUMIFS(YtdC,Site,U,AcGr3,"&gt;=800",AcGr3,"&lt;=819")</f>
        <v>-49505.7</v>
      </c>
      <c r="K49" s="134">
        <f t="shared" si="42"/>
        <v>42946.6</v>
      </c>
      <c r="L49" s="117">
        <f t="shared" si="43"/>
        <v>-0.11047421212615147</v>
      </c>
      <c r="N49" s="92" t="s">
        <v>178</v>
      </c>
      <c r="P49" s="96">
        <f>_xlfn.IFERROR(SUM(O14:O18)/O40,"")</f>
        <v>1.3700191854975357</v>
      </c>
      <c r="R49" s="165"/>
      <c r="S49" s="165"/>
      <c r="T49" s="165"/>
      <c r="U49" s="165"/>
      <c r="V49" s="165"/>
      <c r="W49" s="165"/>
    </row>
    <row r="50" spans="1:23" s="92" customFormat="1" ht="11.25" customHeight="1">
      <c r="A50" s="162">
        <v>840</v>
      </c>
      <c r="B50" s="90">
        <f>MAX(B$6:B49)+1</f>
        <v>39</v>
      </c>
      <c r="C50" s="108" t="s">
        <v>428</v>
      </c>
      <c r="D50" s="147">
        <f>SUMIFS(PrT,Site,U,AcGr3,$A50)</f>
        <v>-7029.74</v>
      </c>
      <c r="E50" s="147">
        <f>SUMIFS(PrC,Site,U,AcGr3,$A50)</f>
        <v>-28684.58</v>
      </c>
      <c r="F50" s="147">
        <f>D50-E50</f>
        <v>21654.840000000004</v>
      </c>
      <c r="G50" s="129">
        <f t="shared" si="41"/>
        <v>-1.7173928269983798</v>
      </c>
      <c r="H50" s="72"/>
      <c r="I50" s="134">
        <f>SUMIFS(YtdT,Site,U,AcGr3,$A50)</f>
        <v>-15649.57</v>
      </c>
      <c r="J50" s="134">
        <f>SUMIFS(YtdC,Site,U,AcGr3,$A50)</f>
        <v>-37774.04</v>
      </c>
      <c r="K50" s="134">
        <f>I50-J50</f>
        <v>22124.47</v>
      </c>
      <c r="L50" s="117">
        <f t="shared" si="43"/>
        <v>-0.2635840154690516</v>
      </c>
      <c r="N50" s="92" t="s">
        <v>179</v>
      </c>
      <c r="P50" s="95">
        <f>_xlfn.IFERROR(L42/100,"")</f>
        <v>0.5522746081261207</v>
      </c>
      <c r="R50" s="165"/>
      <c r="S50" s="165"/>
      <c r="T50" s="165"/>
      <c r="U50" s="165"/>
      <c r="V50" s="165"/>
      <c r="W50" s="165"/>
    </row>
    <row r="51" spans="1:23" s="92" customFormat="1" ht="11.25" customHeight="1">
      <c r="A51" s="162"/>
      <c r="B51" s="90"/>
      <c r="C51" s="12"/>
      <c r="D51" s="73"/>
      <c r="E51" s="73"/>
      <c r="F51" s="73"/>
      <c r="G51" s="79"/>
      <c r="H51" s="139"/>
      <c r="I51" s="74"/>
      <c r="J51" s="74"/>
      <c r="K51" s="74"/>
      <c r="L51" s="80">
        <f t="shared" si="43"/>
        <v>0</v>
      </c>
      <c r="R51" s="165"/>
      <c r="S51" s="165"/>
      <c r="T51" s="165"/>
      <c r="U51" s="165"/>
      <c r="V51" s="165"/>
      <c r="W51" s="165"/>
    </row>
    <row r="52" spans="1:23" s="92" customFormat="1" ht="11.25" customHeight="1">
      <c r="A52" s="162"/>
      <c r="B52" s="90">
        <f>MAX(B$6:B51)+1</f>
        <v>40</v>
      </c>
      <c r="C52" s="67" t="s">
        <v>436</v>
      </c>
      <c r="D52" s="148">
        <f>-SUMIFS(PrT,Site,U,AcGr3,"&gt;=300",AcGr3,"&lt;=899")+IF(OR(U="*",U=9900),SUMIFS(PrT,Site,9900,AcGr3,"&gt;=300",AcGr3,"&lt;=899"),0)</f>
        <v>-120375.89000000099</v>
      </c>
      <c r="E52" s="148">
        <f>-SUMIFS(PrC,Site,U,AcGr3,"&gt;=300",AcGr3,"&lt;=899")+IF(OR(U="*",U=9900),SUMIFS(PrC,Site,9900,AcGr3,"&gt;=300",AcGr3,"&lt;=899"),0)</f>
        <v>-99329.07999999996</v>
      </c>
      <c r="F52" s="148">
        <f>D52-E52</f>
        <v>-21046.81000000103</v>
      </c>
      <c r="G52" s="130">
        <f>_xlfn.IFERROR(100*D52/D$39,0)</f>
        <v>-29.408298177393146</v>
      </c>
      <c r="H52" s="72"/>
      <c r="I52" s="149">
        <f>-SUMIFS(YtdT,Site,U,AcGr3,"&gt;=300",AcGr3,"&lt;=899")+IF(OR(U="*",U=9900),SUMIFS(YtdT,Site,9900,AcGr3,"&gt;=300",AcGr3,"&lt;=899"),0)</f>
        <v>317896.9199999854</v>
      </c>
      <c r="J52" s="149">
        <f>-SUMIFS(YtdC,Site,U,AcGr3,"&gt;=300",AcGr3,"&lt;=899")+IF(OR(U="*",U=9900),SUMIFS(YtdC,Site,9900,AcGr3,"&gt;=300",AcGr3,"&lt;=899"),0)</f>
        <v>1422682.8199999977</v>
      </c>
      <c r="K52" s="149">
        <f>I52-J52</f>
        <v>-1104785.9000000125</v>
      </c>
      <c r="L52" s="131">
        <f t="shared" si="43"/>
        <v>5.354303452353004</v>
      </c>
      <c r="R52" s="165"/>
      <c r="S52" s="165"/>
      <c r="T52" s="165"/>
      <c r="U52" s="165"/>
      <c r="V52" s="165"/>
      <c r="W52" s="165"/>
    </row>
    <row r="53" spans="1:23" s="92" customFormat="1" ht="11.25" customHeight="1">
      <c r="A53" s="162"/>
      <c r="B53" s="90">
        <f>MAX(B$6:B52)+1</f>
        <v>41</v>
      </c>
      <c r="C53" s="67" t="s">
        <v>88</v>
      </c>
      <c r="D53" s="148">
        <f>-SUMIFS(PrT,Site,U,AcGr3,"&gt;=300",AcGr3,"&lt;=899")</f>
        <v>-120375.89000000099</v>
      </c>
      <c r="E53" s="148"/>
      <c r="F53" s="148"/>
      <c r="G53" s="130">
        <f>_xlfn.IFERROR(100*D53/D$39,0)</f>
        <v>-29.408298177393146</v>
      </c>
      <c r="H53" s="72"/>
      <c r="I53" s="149">
        <f>-SUMIFS(YtdT,Site,U,AcGr3,"&gt;=300",AcGr3,"&lt;=899")</f>
        <v>317896.9199999854</v>
      </c>
      <c r="J53" s="149"/>
      <c r="K53" s="149"/>
      <c r="L53" s="131">
        <f t="shared" si="43"/>
        <v>5.354303452353004</v>
      </c>
      <c r="R53" s="165"/>
      <c r="S53" s="165"/>
      <c r="T53" s="165"/>
      <c r="U53" s="165"/>
      <c r="V53" s="165"/>
      <c r="W53" s="165"/>
    </row>
    <row r="54" spans="1:23" s="92" customFormat="1" ht="11.25" customHeight="1">
      <c r="A54" s="162"/>
      <c r="B54" s="161"/>
      <c r="C54" s="69"/>
      <c r="D54" s="81">
        <f>D53+SUMIFS(PrT,Site,U,Ac,"&gt;=3000",Ac,"&lt;=8299")</f>
        <v>0</v>
      </c>
      <c r="E54" s="69"/>
      <c r="F54" s="69"/>
      <c r="G54" s="69"/>
      <c r="H54" s="10"/>
      <c r="I54" s="81">
        <f>I53+SUMIFS(YtdT,Site,U,Ac,"&gt;=3000",Ac,"&lt;=8299")</f>
        <v>0</v>
      </c>
      <c r="J54" s="69"/>
      <c r="K54" s="69"/>
      <c r="L54" s="69"/>
      <c r="R54" s="165"/>
      <c r="S54" s="165"/>
      <c r="T54" s="165"/>
      <c r="U54" s="165"/>
      <c r="V54" s="165"/>
      <c r="W54" s="165"/>
    </row>
    <row r="55" spans="1:24" s="92" customFormat="1" ht="11.25" customHeight="1">
      <c r="A55" s="162"/>
      <c r="B55" s="161"/>
      <c r="C55" s="69"/>
      <c r="D55" s="82"/>
      <c r="E55" s="69"/>
      <c r="F55" s="69"/>
      <c r="G55" s="69"/>
      <c r="H55" s="10"/>
      <c r="I55" s="82"/>
      <c r="J55" s="69"/>
      <c r="K55" s="69"/>
      <c r="L55" s="69"/>
      <c r="M55" s="20"/>
      <c r="N55" s="39"/>
      <c r="O55" s="39"/>
      <c r="P55" s="39"/>
      <c r="Q55" s="39"/>
      <c r="R55" s="165"/>
      <c r="S55" s="165"/>
      <c r="T55" s="165"/>
      <c r="U55" s="165"/>
      <c r="V55" s="165"/>
      <c r="W55" s="165"/>
      <c r="X55" s="20"/>
    </row>
    <row r="56" spans="3:16" ht="11.25" customHeight="1">
      <c r="C56" s="83" t="s">
        <v>180</v>
      </c>
      <c r="D56" s="75"/>
      <c r="E56" s="75"/>
      <c r="F56" s="75"/>
      <c r="G56" s="75"/>
      <c r="H56" s="14"/>
      <c r="I56" s="75"/>
      <c r="J56" s="75"/>
      <c r="K56" s="75"/>
      <c r="L56" s="75"/>
      <c r="N56" s="19" t="s">
        <v>181</v>
      </c>
      <c r="O56" s="78"/>
      <c r="P56" s="78"/>
    </row>
    <row r="57" ht="11.25" customHeight="1">
      <c r="N57" s="21"/>
    </row>
    <row r="58" spans="14:18" ht="11.25" customHeight="1">
      <c r="N58" s="417" t="str">
        <f>IF($T$59,R58,IF($T$66,R65,IF($T$73,R72,"")))</f>
        <v/>
      </c>
      <c r="O58" s="418"/>
      <c r="P58" s="418"/>
      <c r="Q58" s="418"/>
      <c r="R58" s="167" t="s">
        <v>182</v>
      </c>
    </row>
    <row r="59" spans="14:22" ht="11.25" customHeight="1">
      <c r="N59" s="84" t="str">
        <f>IF($T$59,R59,IF($T$66,R66,IF($T$73,R73,"")))</f>
        <v/>
      </c>
      <c r="O59" s="85" t="str">
        <f>IF($T$59,S59,IF($T$66,S66,IF($T$73,S73,"")))</f>
        <v/>
      </c>
      <c r="R59" s="168" t="s">
        <v>183</v>
      </c>
      <c r="S59" s="169">
        <f>$O$25</f>
        <v>3919514.1799999857</v>
      </c>
      <c r="T59" s="165" t="b">
        <f>S59&lt;S60*0.5</f>
        <v>0</v>
      </c>
      <c r="V59" s="169">
        <f>$O$25</f>
        <v>3919514.1799999857</v>
      </c>
    </row>
    <row r="60" spans="14:22" ht="11.25" customHeight="1">
      <c r="N60" s="84" t="str">
        <f>IF($T$59,R60,IF($T$66,R67,IF($T$73,R74,"")))</f>
        <v/>
      </c>
      <c r="O60" s="85" t="str">
        <f>IF($T$59,S60,IF($T$66,S67,IF($T$73,S74,"")))</f>
        <v/>
      </c>
      <c r="R60" s="168" t="s">
        <v>103</v>
      </c>
      <c r="S60" s="169">
        <f>-SUMIF(Ac,2000,YtdT)</f>
        <v>100000</v>
      </c>
      <c r="V60" s="169">
        <f>-SUMIF(Ac,2000,YtdT)</f>
        <v>100000</v>
      </c>
    </row>
    <row r="61" ht="11.25" customHeight="1">
      <c r="N61" s="87"/>
    </row>
    <row r="62" spans="14:18" ht="11.25" customHeight="1">
      <c r="N62" s="419" t="str">
        <f>IF($T$59,R62,IF($T$66,R69,IF($T$73,R76,"")))</f>
        <v/>
      </c>
      <c r="O62" s="420"/>
      <c r="P62" s="420"/>
      <c r="Q62" s="420"/>
      <c r="R62" s="165" t="s">
        <v>189</v>
      </c>
    </row>
    <row r="63" spans="14:18" ht="11.25" customHeight="1">
      <c r="N63" s="419" t="str">
        <f>IF($T$59,R63,IF($T$66,R70,IF($T$73,R77,"")))</f>
        <v/>
      </c>
      <c r="O63" s="420"/>
      <c r="P63" s="420"/>
      <c r="Q63" s="420"/>
      <c r="R63" s="165" t="s">
        <v>190</v>
      </c>
    </row>
    <row r="64" spans="14:19" ht="11.25" customHeight="1">
      <c r="N64" s="87"/>
      <c r="O64" s="88"/>
      <c r="S64" s="170"/>
    </row>
    <row r="65" spans="14:18" ht="11.25" customHeight="1">
      <c r="N65" s="417" t="str">
        <f>IF(AND($T$59,$T$66),R65,IF(AND(OR($T$59,$T$66),$T$73),R72,""))</f>
        <v/>
      </c>
      <c r="O65" s="418"/>
      <c r="P65" s="418"/>
      <c r="Q65" s="418"/>
      <c r="R65" s="167" t="s">
        <v>187</v>
      </c>
    </row>
    <row r="66" spans="14:22" ht="11.25" customHeight="1">
      <c r="N66" s="84" t="str">
        <f>IF(AND($T$59,$T$66),R66,IF(AND(OR($T$59,$T$66),$T$73),R73,""))</f>
        <v/>
      </c>
      <c r="O66" s="85" t="str">
        <f>IF(AND($T$59,$T$66),S66,IF(AND(OR($T$59,$T$66),$T$73),S73,""))</f>
        <v/>
      </c>
      <c r="R66" s="168" t="s">
        <v>188</v>
      </c>
      <c r="S66" s="169">
        <f>$O$19</f>
        <v>5044430.09</v>
      </c>
      <c r="T66" s="165" t="b">
        <f>S66&lt;S67</f>
        <v>0</v>
      </c>
      <c r="V66" s="169">
        <f>$O$19</f>
        <v>5044430.09</v>
      </c>
    </row>
    <row r="67" spans="14:22" ht="11.25" customHeight="1">
      <c r="N67" s="84" t="str">
        <f>IF(AND($T$59,$T$66),R67,IF(AND(OR($T$59,$T$66),$T$73),R74,""))</f>
        <v/>
      </c>
      <c r="O67" s="85" t="str">
        <f>IF(AND($T$59,$T$66),S67,IF(AND(OR($T$59,$T$66),$T$73),S74,""))</f>
        <v/>
      </c>
      <c r="R67" s="168" t="s">
        <v>96</v>
      </c>
      <c r="S67" s="169">
        <f>$O$40</f>
        <v>2692466.0100000002</v>
      </c>
      <c r="V67" s="169">
        <f>$O$40</f>
        <v>2692466.0100000002</v>
      </c>
    </row>
    <row r="68" spans="14:15" ht="11.25" customHeight="1">
      <c r="N68" s="87"/>
      <c r="O68" s="85"/>
    </row>
    <row r="69" spans="14:18" ht="11.25" customHeight="1">
      <c r="N69" s="419" t="str">
        <f>IF(AND($T$59,$T$66),R69,IF(AND(OR($T$59,$T$66),$T$73),R76,""))</f>
        <v/>
      </c>
      <c r="O69" s="420" t="str">
        <f aca="true" t="shared" si="48" ref="O69:Q70">IF($T$66,S69,IF($T$73,S76,""))</f>
        <v/>
      </c>
      <c r="P69" s="420" t="str">
        <f t="shared" si="48"/>
        <v/>
      </c>
      <c r="Q69" s="420" t="str">
        <f t="shared" si="48"/>
        <v/>
      </c>
      <c r="R69" s="165" t="s">
        <v>191</v>
      </c>
    </row>
    <row r="70" spans="14:23" ht="11.25" customHeight="1">
      <c r="N70" s="419" t="str">
        <f>IF(AND($T$59,$T$66),R70,IF(AND(OR($T$59,$T$66),$T$73),R77,""))</f>
        <v/>
      </c>
      <c r="O70" s="420" t="str">
        <f t="shared" si="48"/>
        <v/>
      </c>
      <c r="P70" s="420" t="str">
        <f t="shared" si="48"/>
        <v/>
      </c>
      <c r="Q70" s="420" t="str">
        <f t="shared" si="48"/>
        <v/>
      </c>
      <c r="R70" s="165" t="s">
        <v>192</v>
      </c>
      <c r="W70" s="167"/>
    </row>
    <row r="71" spans="14:24" ht="11.25" customHeight="1">
      <c r="N71" s="87"/>
      <c r="W71" s="168"/>
      <c r="X71" s="86"/>
    </row>
    <row r="72" spans="14:24" ht="11.25" customHeight="1">
      <c r="N72" s="417" t="str">
        <f>IF(AND($T$59,$T$66,$T$73),R72,"")</f>
        <v/>
      </c>
      <c r="O72" s="418"/>
      <c r="P72" s="418"/>
      <c r="Q72" s="418"/>
      <c r="R72" s="167" t="s">
        <v>186</v>
      </c>
      <c r="W72" s="168"/>
      <c r="X72" s="86"/>
    </row>
    <row r="73" spans="14:22" ht="11.25" customHeight="1">
      <c r="N73" s="84" t="str">
        <f>IF(AND($T$59,$T$66,$T$73),R73,"")</f>
        <v/>
      </c>
      <c r="O73" s="85" t="str">
        <f>IF(AND($T$59,$T$66,$T$73),S73,"")</f>
        <v/>
      </c>
      <c r="R73" s="168" t="s">
        <v>184</v>
      </c>
      <c r="S73" s="169">
        <f>SUMIF(Ac,1950,YtdT)</f>
        <v>85248</v>
      </c>
      <c r="T73" s="165" t="b">
        <f>S73&lt;S74</f>
        <v>0</v>
      </c>
      <c r="V73" s="169">
        <f>SUMIF(Ac,1950,YtdT)</f>
        <v>85248</v>
      </c>
    </row>
    <row r="74" spans="14:22" ht="11.25" customHeight="1">
      <c r="N74" s="84" t="str">
        <f>IF(AND($T$59,$T$66,$T$73),R74,"")</f>
        <v/>
      </c>
      <c r="O74" s="85" t="str">
        <f>IF(AND($T$59,$T$66,$T$73),S74,"")</f>
        <v/>
      </c>
      <c r="R74" s="168" t="s">
        <v>185</v>
      </c>
      <c r="S74" s="169">
        <f>-SUMIF(Ac,2600,YtdT)</f>
        <v>84956</v>
      </c>
      <c r="V74" s="169">
        <f>-SUMIF(Ac,2600,YtdT)</f>
        <v>84956</v>
      </c>
    </row>
    <row r="75" spans="14:19" ht="11.25" customHeight="1">
      <c r="N75" s="87"/>
      <c r="O75" s="85"/>
      <c r="R75" s="168"/>
      <c r="S75" s="169"/>
    </row>
    <row r="76" spans="14:19" ht="11.25" customHeight="1">
      <c r="N76" s="87"/>
      <c r="O76" s="85"/>
      <c r="R76" s="168"/>
      <c r="S76" s="169"/>
    </row>
    <row r="77" spans="14:21" ht="11.25" customHeight="1">
      <c r="N77" s="19" t="s">
        <v>309</v>
      </c>
      <c r="O77" s="78"/>
      <c r="P77" s="25" t="s">
        <v>199</v>
      </c>
      <c r="R77" s="171"/>
      <c r="S77" s="171"/>
      <c r="T77" s="171"/>
      <c r="U77" s="171"/>
    </row>
    <row r="78" spans="14:19" ht="11.25" customHeight="1">
      <c r="N78" s="39" t="s">
        <v>375</v>
      </c>
      <c r="P78" s="89">
        <f>SUMIF(Ac,5015,YtdT)+SUMIF(Ac,5016,YtdT)+SUMIF(Ac,5190,YtdT)+SUMIF(Ac,5191,YtdT)</f>
        <v>0</v>
      </c>
      <c r="S78" s="165" t="s">
        <v>374</v>
      </c>
    </row>
    <row r="79" spans="14:19" ht="11.25" customHeight="1">
      <c r="N79" s="39" t="str">
        <f aca="true" t="shared" si="49" ref="N79:N89">R79&amp;" "&amp;SUBSTITUTE(S79,"Periodisering ","")</f>
        <v>5947 OTP</v>
      </c>
      <c r="P79" s="89">
        <f aca="true" t="shared" si="50" ref="P79:P89">SUMIF(Ac,R79,YtdT)</f>
        <v>0</v>
      </c>
      <c r="R79" s="165">
        <v>5947</v>
      </c>
      <c r="S79" s="165" t="s">
        <v>360</v>
      </c>
    </row>
    <row r="80" spans="14:19" ht="11.25" customHeight="1">
      <c r="N80" s="39" t="str">
        <f>R80&amp;" "&amp;SUBSTITUTE(S80,"Periodisering ","")</f>
        <v>6252 Strøm</v>
      </c>
      <c r="P80" s="89">
        <f t="shared" si="50"/>
        <v>0</v>
      </c>
      <c r="R80" s="165">
        <v>6252</v>
      </c>
      <c r="S80" s="165" t="s">
        <v>311</v>
      </c>
    </row>
    <row r="81" spans="14:19" ht="11.25" customHeight="1">
      <c r="N81" s="39" t="str">
        <f t="shared" si="49"/>
        <v>6262 Vann &amp; komm. avg.</v>
      </c>
      <c r="P81" s="89">
        <f t="shared" si="50"/>
        <v>0</v>
      </c>
      <c r="R81" s="165">
        <v>6262</v>
      </c>
      <c r="S81" s="165" t="s">
        <v>312</v>
      </c>
    </row>
    <row r="82" spans="14:19" ht="11.25" customHeight="1">
      <c r="N82" s="39" t="str">
        <f t="shared" si="49"/>
        <v>6272 Renhold</v>
      </c>
      <c r="P82" s="89">
        <f t="shared" si="50"/>
        <v>0</v>
      </c>
      <c r="R82" s="165">
        <v>6272</v>
      </c>
      <c r="S82" s="165" t="s">
        <v>313</v>
      </c>
    </row>
    <row r="83" spans="14:19" ht="11.25" customHeight="1">
      <c r="N83" s="39" t="str">
        <f t="shared" si="49"/>
        <v>6314 FSA og Royalty</v>
      </c>
      <c r="P83" s="89">
        <f t="shared" si="50"/>
        <v>0</v>
      </c>
      <c r="R83" s="165">
        <v>6314</v>
      </c>
      <c r="S83" s="165" t="s">
        <v>307</v>
      </c>
    </row>
    <row r="84" spans="14:19" ht="11.25" customHeight="1">
      <c r="N84" s="39" t="str">
        <f t="shared" si="49"/>
        <v>6462 Leasing utleie</v>
      </c>
      <c r="P84" s="89">
        <f t="shared" si="50"/>
        <v>0</v>
      </c>
      <c r="R84" s="165">
        <v>6462</v>
      </c>
      <c r="S84" s="165" t="s">
        <v>314</v>
      </c>
    </row>
    <row r="85" spans="14:19" ht="11.25" customHeight="1">
      <c r="N85" s="39" t="str">
        <f t="shared" si="49"/>
        <v>6490 Leasing annet</v>
      </c>
      <c r="P85" s="89">
        <f t="shared" si="50"/>
        <v>0</v>
      </c>
      <c r="R85" s="165">
        <v>6490</v>
      </c>
      <c r="S85" s="165" t="s">
        <v>315</v>
      </c>
    </row>
    <row r="86" spans="14:19" ht="11.25" customHeight="1">
      <c r="N86" s="39" t="str">
        <f t="shared" si="49"/>
        <v>6662 Vedr uteareal</v>
      </c>
      <c r="P86" s="89">
        <f t="shared" si="50"/>
        <v>0</v>
      </c>
      <c r="R86" s="165">
        <v>6662</v>
      </c>
      <c r="S86" s="165" t="s">
        <v>316</v>
      </c>
    </row>
    <row r="87" spans="14:19" ht="11.25" customHeight="1">
      <c r="N87" s="39" t="str">
        <f t="shared" si="49"/>
        <v>6721 Honorarer</v>
      </c>
      <c r="P87" s="89">
        <f t="shared" si="50"/>
        <v>0</v>
      </c>
      <c r="R87" s="165">
        <v>6721</v>
      </c>
      <c r="S87" s="165" t="s">
        <v>317</v>
      </c>
    </row>
    <row r="88" spans="14:19" ht="11.25" customHeight="1">
      <c r="N88" s="39" t="str">
        <f t="shared" si="49"/>
        <v>6722 Andre tjenester (vakthold)</v>
      </c>
      <c r="P88" s="89">
        <f t="shared" si="50"/>
        <v>0</v>
      </c>
      <c r="R88" s="165">
        <v>6722</v>
      </c>
      <c r="S88" s="165" t="s">
        <v>318</v>
      </c>
    </row>
    <row r="89" spans="14:19" ht="11.25" customHeight="1">
      <c r="N89" s="39" t="str">
        <f t="shared" si="49"/>
        <v>7512 Forsikringspremier</v>
      </c>
      <c r="P89" s="89">
        <f t="shared" si="50"/>
        <v>-288.28</v>
      </c>
      <c r="R89" s="165">
        <v>7512</v>
      </c>
      <c r="S89" s="165" t="s">
        <v>319</v>
      </c>
    </row>
    <row r="90" spans="14:16" ht="11.25" customHeight="1">
      <c r="N90" s="23"/>
      <c r="O90" s="23"/>
      <c r="P90" s="24"/>
    </row>
    <row r="91" spans="14:16" ht="11.25" customHeight="1">
      <c r="N91" s="21" t="s">
        <v>310</v>
      </c>
      <c r="O91" s="21"/>
      <c r="P91" s="22">
        <f>SUM(P78:P89)</f>
        <v>-288.28</v>
      </c>
    </row>
    <row r="93" ht="11.25" customHeight="1">
      <c r="N93" s="23" t="s">
        <v>320</v>
      </c>
    </row>
  </sheetData>
  <mergeCells count="7">
    <mergeCell ref="N72:Q72"/>
    <mergeCell ref="N58:Q58"/>
    <mergeCell ref="N62:Q62"/>
    <mergeCell ref="N63:Q63"/>
    <mergeCell ref="N65:Q65"/>
    <mergeCell ref="N69:Q69"/>
    <mergeCell ref="N70:Q70"/>
  </mergeCells>
  <conditionalFormatting sqref="D54 O43:Q43 I54">
    <cfRule type="expression" priority="1" dxfId="93" stopIfTrue="1">
      <formula>ROUND(D43,2)&lt;&gt;0</formula>
    </cfRule>
  </conditionalFormatting>
  <conditionalFormatting sqref="P46:P47">
    <cfRule type="cellIs" priority="2" dxfId="91" operator="lessThan" stopIfTrue="1">
      <formula>0</formula>
    </cfRule>
  </conditionalFormatting>
  <conditionalFormatting sqref="P48">
    <cfRule type="cellIs" priority="3" dxfId="91" operator="lessThan" stopIfTrue="1">
      <formula>1</formula>
    </cfRule>
  </conditionalFormatting>
  <dataValidations count="1">
    <dataValidation type="list" allowBlank="1" showInputMessage="1" showErrorMessage="1" sqref="C1">
      <formula1>Enheter</formula1>
    </dataValidation>
  </dataValidations>
  <printOptions/>
  <pageMargins left="0.31496062992125984" right="0.31496062992125984" top="0.31496062992125984" bottom="0.31496062992125984" header="0.15748031496062992" footer="0.15748031496062992"/>
  <pageSetup fitToHeight="0" horizontalDpi="600" verticalDpi="600" orientation="landscape" paperSize="9" scale="89" r:id="rId2"/>
  <headerFooter alignWithMargins="0">
    <oddFooter>&amp;L&amp;8&amp;A&amp;C&amp;8&amp;D &amp;T&amp;R&amp;8Azets Insight AS - 2021</oddFooter>
  </headerFooter>
  <rowBreaks count="1" manualBreakCount="1">
    <brk id="55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4"/>
  <sheetViews>
    <sheetView showGridLines="0" workbookViewId="0" topLeftCell="B1">
      <selection activeCell="B1" sqref="B1"/>
    </sheetView>
  </sheetViews>
  <sheetFormatPr defaultColWidth="10.7109375" defaultRowHeight="12.75"/>
  <cols>
    <col min="1" max="1" width="7.8515625" style="181" hidden="1" customWidth="1"/>
    <col min="2" max="2" width="2.7109375" style="177" bestFit="1" customWidth="1"/>
    <col min="3" max="3" width="27.8515625" style="6" bestFit="1" customWidth="1"/>
    <col min="4" max="24" width="12.7109375" style="6" customWidth="1"/>
    <col min="25" max="16384" width="10.7109375" style="6" customWidth="1"/>
  </cols>
  <sheetData>
    <row r="1" spans="1:5" s="1" customFormat="1" ht="22.5" customHeight="1">
      <c r="A1" s="60"/>
      <c r="C1" s="201" t="s">
        <v>1696</v>
      </c>
      <c r="D1" s="286" t="s">
        <v>25</v>
      </c>
      <c r="E1" s="286">
        <v>4169</v>
      </c>
    </row>
    <row r="2" spans="1:5" s="7" customFormat="1" ht="33" customHeight="1">
      <c r="A2" s="182"/>
      <c r="B2" s="178"/>
      <c r="C2" s="176" t="s">
        <v>1697</v>
      </c>
      <c r="D2" s="247" t="s">
        <v>1696</v>
      </c>
      <c r="E2" s="247" t="s">
        <v>1695</v>
      </c>
    </row>
    <row r="3" spans="2:5" ht="12.75">
      <c r="B3" s="179"/>
      <c r="C3" s="8"/>
      <c r="D3" s="9" t="s">
        <v>25</v>
      </c>
      <c r="E3" s="9" t="s">
        <v>25</v>
      </c>
    </row>
    <row r="4" spans="2:5" ht="12.75">
      <c r="B4" s="177">
        <v>1</v>
      </c>
      <c r="C4" s="173" t="s">
        <v>1698</v>
      </c>
      <c r="D4" s="219">
        <v>-2427.5499999999884</v>
      </c>
      <c r="E4" s="219">
        <v>-2427.5499999999884</v>
      </c>
    </row>
    <row r="5" spans="2:5" ht="12.75">
      <c r="B5" s="177">
        <v>2</v>
      </c>
      <c r="C5" s="174" t="s">
        <v>163</v>
      </c>
      <c r="D5" s="220">
        <v>734935.02</v>
      </c>
      <c r="E5" s="220">
        <v>734935.02</v>
      </c>
    </row>
    <row r="6" spans="2:5" ht="12.75">
      <c r="B6" s="177">
        <v>3</v>
      </c>
      <c r="C6" s="175" t="s">
        <v>1699</v>
      </c>
      <c r="D6" s="221">
        <v>-0.11596992141071617</v>
      </c>
      <c r="E6" s="221">
        <v>-0.11596992141071617</v>
      </c>
    </row>
    <row r="7" spans="2:5" ht="12.75">
      <c r="B7" s="177">
        <v>4</v>
      </c>
      <c r="C7" s="174" t="s">
        <v>164</v>
      </c>
      <c r="D7" s="222">
        <v>0.47988716063632425</v>
      </c>
      <c r="E7" s="222">
        <v>0.47988716063632425</v>
      </c>
    </row>
    <row r="8" spans="2:5" ht="12.75">
      <c r="B8" s="177">
        <v>5</v>
      </c>
      <c r="C8" s="172" t="s">
        <v>176</v>
      </c>
      <c r="D8" s="223">
        <v>0.37839234646863634</v>
      </c>
      <c r="E8" s="223">
        <v>0.37839234646863634</v>
      </c>
    </row>
    <row r="9" spans="2:5" ht="12.75">
      <c r="B9" s="177">
        <v>6</v>
      </c>
      <c r="C9" s="175" t="s">
        <v>165</v>
      </c>
      <c r="D9" s="221">
        <v>1.2718305602870612</v>
      </c>
      <c r="E9" s="221">
        <v>1.2718305602870612</v>
      </c>
    </row>
    <row r="10" spans="2:5" ht="12.75">
      <c r="B10" s="177">
        <v>7</v>
      </c>
      <c r="C10" s="174" t="s">
        <v>166</v>
      </c>
      <c r="D10" s="220">
        <v>12546.17</v>
      </c>
      <c r="E10" s="220">
        <v>12546.17</v>
      </c>
    </row>
    <row r="11" spans="2:5" ht="12.75">
      <c r="B11" s="177">
        <v>8</v>
      </c>
      <c r="C11" s="175" t="s">
        <v>167</v>
      </c>
      <c r="D11" s="221">
        <v>0.07067803291041445</v>
      </c>
      <c r="E11" s="221">
        <v>0.07067803291041445</v>
      </c>
    </row>
    <row r="12" spans="2:5" ht="12.75">
      <c r="B12" s="177">
        <v>9</v>
      </c>
      <c r="C12" s="173" t="s">
        <v>126</v>
      </c>
      <c r="D12" s="224">
        <v>-8269</v>
      </c>
      <c r="E12" s="224">
        <v>-8269</v>
      </c>
    </row>
    <row r="13" spans="2:5" ht="12.75">
      <c r="B13" s="177">
        <v>10</v>
      </c>
      <c r="C13" s="174" t="s">
        <v>168</v>
      </c>
      <c r="D13" s="220">
        <v>319437.29</v>
      </c>
      <c r="E13" s="220">
        <v>319437.29</v>
      </c>
    </row>
    <row r="14" spans="2:5" ht="12.75">
      <c r="B14" s="177">
        <v>11</v>
      </c>
      <c r="C14" s="175" t="s">
        <v>169</v>
      </c>
      <c r="D14" s="225">
        <v>0</v>
      </c>
      <c r="E14" s="225">
        <v>0</v>
      </c>
    </row>
    <row r="15" spans="2:5" ht="12.75">
      <c r="B15" s="177">
        <v>12</v>
      </c>
      <c r="C15" s="174" t="s">
        <v>1700</v>
      </c>
      <c r="D15" s="220">
        <v>24369.49</v>
      </c>
      <c r="E15" s="220">
        <v>24369.49</v>
      </c>
    </row>
    <row r="16" spans="2:5" ht="12.75">
      <c r="B16" s="177">
        <v>13</v>
      </c>
      <c r="C16" s="172" t="s">
        <v>433</v>
      </c>
      <c r="D16" s="226">
        <v>5622.39</v>
      </c>
      <c r="E16" s="226">
        <v>5622.39</v>
      </c>
    </row>
    <row r="17" spans="2:5" ht="12.75">
      <c r="B17" s="177">
        <v>14</v>
      </c>
      <c r="C17" s="172" t="s">
        <v>173</v>
      </c>
      <c r="D17" s="227">
        <v>394.33</v>
      </c>
      <c r="E17" s="227">
        <v>394.33</v>
      </c>
    </row>
    <row r="18" spans="2:5" ht="12.75">
      <c r="B18" s="177">
        <v>15</v>
      </c>
      <c r="C18" s="172" t="s">
        <v>174</v>
      </c>
      <c r="D18" s="223">
        <v>0.13189235855542444</v>
      </c>
      <c r="E18" s="223">
        <v>0.13189235855542444</v>
      </c>
    </row>
    <row r="19" spans="2:5" ht="12.75">
      <c r="B19" s="177">
        <v>16</v>
      </c>
      <c r="C19" s="175" t="s">
        <v>175</v>
      </c>
      <c r="D19" s="221">
        <v>0.7803977252669391</v>
      </c>
      <c r="E19" s="221">
        <v>0.7803977252669391</v>
      </c>
    </row>
    <row r="20" spans="2:5" ht="12.75">
      <c r="B20" s="177">
        <v>17</v>
      </c>
      <c r="C20" s="174" t="s">
        <v>429</v>
      </c>
      <c r="D20" s="228">
        <v>0</v>
      </c>
      <c r="E20" s="228">
        <v>0</v>
      </c>
    </row>
    <row r="21" spans="2:5" ht="12.75">
      <c r="B21" s="177">
        <v>18</v>
      </c>
      <c r="C21" s="172" t="s">
        <v>967</v>
      </c>
      <c r="D21" s="299"/>
      <c r="E21" s="299"/>
    </row>
    <row r="22" spans="2:5" ht="12.75">
      <c r="B22" s="177">
        <v>19</v>
      </c>
      <c r="C22" s="172" t="s">
        <v>170</v>
      </c>
      <c r="D22" s="227"/>
      <c r="E22" s="227"/>
    </row>
    <row r="23" spans="2:5" ht="12.75">
      <c r="B23" s="177">
        <v>20</v>
      </c>
      <c r="C23" s="175" t="s">
        <v>171</v>
      </c>
      <c r="D23" s="229"/>
      <c r="E23" s="229"/>
    </row>
    <row r="24" ht="12.75">
      <c r="C24" s="8"/>
    </row>
    <row r="25" spans="1:5" s="7" customFormat="1" ht="12.75">
      <c r="A25" s="182"/>
      <c r="B25" s="177">
        <v>21</v>
      </c>
      <c r="C25" s="68" t="s">
        <v>148</v>
      </c>
      <c r="D25" s="230" t="s">
        <v>133</v>
      </c>
      <c r="E25" s="230" t="s">
        <v>133</v>
      </c>
    </row>
    <row r="26" spans="1:5" ht="12.75">
      <c r="A26" s="163">
        <v>10</v>
      </c>
      <c r="B26" s="177">
        <v>22</v>
      </c>
      <c r="C26" s="112" t="s">
        <v>509</v>
      </c>
      <c r="D26" s="231">
        <v>0.03355590424154128</v>
      </c>
      <c r="E26" s="231">
        <v>0.03355590424154128</v>
      </c>
    </row>
    <row r="27" spans="1:5" ht="12.75">
      <c r="A27" s="163">
        <v>120</v>
      </c>
      <c r="B27" s="177">
        <v>23</v>
      </c>
      <c r="C27" s="113" t="s">
        <v>510</v>
      </c>
      <c r="D27" s="223">
        <v>0.3615383085690349</v>
      </c>
      <c r="E27" s="223">
        <v>0.3615383085690349</v>
      </c>
    </row>
    <row r="28" spans="1:5" ht="12.75">
      <c r="A28" s="163">
        <v>130</v>
      </c>
      <c r="B28" s="177">
        <v>24</v>
      </c>
      <c r="C28" s="113" t="s">
        <v>511</v>
      </c>
      <c r="D28" s="223">
        <v>0.6353607599074009</v>
      </c>
      <c r="E28" s="223">
        <v>0.6353607599074009</v>
      </c>
    </row>
    <row r="29" spans="1:5" ht="12.75">
      <c r="A29" s="163">
        <v>140</v>
      </c>
      <c r="B29" s="177">
        <v>25</v>
      </c>
      <c r="C29" s="113" t="s">
        <v>512</v>
      </c>
      <c r="D29" s="223">
        <v>0.2753323378429872</v>
      </c>
      <c r="E29" s="223">
        <v>0.2753323378429872</v>
      </c>
    </row>
    <row r="30" spans="1:5" ht="12.75">
      <c r="A30" s="163">
        <v>160</v>
      </c>
      <c r="B30" s="177">
        <v>26</v>
      </c>
      <c r="C30" s="113" t="s">
        <v>513</v>
      </c>
      <c r="D30" s="223">
        <v>0.14723189243679227</v>
      </c>
      <c r="E30" s="223">
        <v>0.14723189243679227</v>
      </c>
    </row>
    <row r="31" spans="1:5" ht="12.75">
      <c r="A31" s="163">
        <v>161</v>
      </c>
      <c r="B31" s="177">
        <v>27</v>
      </c>
      <c r="C31" s="113" t="s">
        <v>514</v>
      </c>
      <c r="D31" s="223">
        <v>0</v>
      </c>
      <c r="E31" s="223">
        <v>0</v>
      </c>
    </row>
    <row r="32" spans="1:5" ht="12.75">
      <c r="A32" s="163">
        <v>170</v>
      </c>
      <c r="B32" s="177">
        <v>28</v>
      </c>
      <c r="C32" s="113" t="s">
        <v>515</v>
      </c>
      <c r="D32" s="223">
        <v>2.371547791248324</v>
      </c>
      <c r="E32" s="223">
        <v>2.371547791248324</v>
      </c>
    </row>
    <row r="33" spans="1:5" ht="12.75">
      <c r="A33" s="163">
        <v>180</v>
      </c>
      <c r="B33" s="177">
        <v>29</v>
      </c>
      <c r="C33" s="113" t="s">
        <v>516</v>
      </c>
      <c r="D33" s="223">
        <v>0.22349167215213578</v>
      </c>
      <c r="E33" s="223">
        <v>0.22349167215213578</v>
      </c>
    </row>
    <row r="34" spans="1:5" ht="12.75">
      <c r="A34" s="163">
        <v>190</v>
      </c>
      <c r="B34" s="177">
        <v>30</v>
      </c>
      <c r="C34" s="113" t="s">
        <v>517</v>
      </c>
      <c r="D34" s="223">
        <v>-2.969904648754408</v>
      </c>
      <c r="E34" s="223">
        <v>-2.969904648754408</v>
      </c>
    </row>
    <row r="35" spans="1:5" ht="12.75">
      <c r="A35" s="163">
        <v>200</v>
      </c>
      <c r="B35" s="177">
        <v>31</v>
      </c>
      <c r="C35" s="113" t="s">
        <v>518</v>
      </c>
      <c r="D35" s="223">
        <v>1.3587898672090057</v>
      </c>
      <c r="E35" s="223">
        <v>1.3587898672090057</v>
      </c>
    </row>
    <row r="36" spans="1:5" ht="12.75">
      <c r="A36" s="163">
        <v>210</v>
      </c>
      <c r="B36" s="177">
        <v>32</v>
      </c>
      <c r="C36" s="113" t="s">
        <v>519</v>
      </c>
      <c r="D36" s="223">
        <v>1.1605319353586936</v>
      </c>
      <c r="E36" s="223">
        <v>1.1605319353586936</v>
      </c>
    </row>
    <row r="37" spans="1:5" ht="12.75">
      <c r="A37" s="163">
        <v>211</v>
      </c>
      <c r="B37" s="177">
        <v>33</v>
      </c>
      <c r="C37" s="113" t="s">
        <v>520</v>
      </c>
      <c r="D37" s="223">
        <v>6.254934210526316</v>
      </c>
      <c r="E37" s="223">
        <v>6.254934210526316</v>
      </c>
    </row>
    <row r="38" spans="1:5" ht="12.75">
      <c r="A38" s="163">
        <v>220</v>
      </c>
      <c r="B38" s="177">
        <v>34</v>
      </c>
      <c r="C38" s="113" t="s">
        <v>521</v>
      </c>
      <c r="D38" s="223">
        <v>0</v>
      </c>
      <c r="E38" s="223">
        <v>0</v>
      </c>
    </row>
    <row r="39" spans="1:5" ht="12.75">
      <c r="A39" s="163">
        <v>250</v>
      </c>
      <c r="B39" s="177">
        <v>35</v>
      </c>
      <c r="C39" s="113" t="s">
        <v>522</v>
      </c>
      <c r="D39" s="223">
        <v>-2.2821445393295243</v>
      </c>
      <c r="E39" s="223">
        <v>-2.2821445393295243</v>
      </c>
    </row>
    <row r="40" spans="1:5" ht="12.75">
      <c r="A40" s="163">
        <v>40</v>
      </c>
      <c r="B40" s="177">
        <v>36</v>
      </c>
      <c r="C40" s="112" t="s">
        <v>589</v>
      </c>
      <c r="D40" s="231">
        <v>0.47988716063632425</v>
      </c>
      <c r="E40" s="231">
        <v>0.47988716063632425</v>
      </c>
    </row>
    <row r="41" spans="1:5" ht="12.75">
      <c r="A41" s="163"/>
      <c r="B41" s="177">
        <v>37</v>
      </c>
      <c r="C41" s="111" t="s">
        <v>591</v>
      </c>
      <c r="D41" s="232">
        <v>0.16900659021053652</v>
      </c>
      <c r="E41" s="232">
        <v>0.16900659021053652</v>
      </c>
    </row>
    <row r="42" spans="1:5" s="7" customFormat="1" ht="12.75">
      <c r="A42" s="182"/>
      <c r="B42" s="180"/>
      <c r="C42" s="10"/>
      <c r="D42" s="11"/>
      <c r="E42" s="11"/>
    </row>
    <row r="43" spans="2:5" ht="12.75">
      <c r="B43" s="177">
        <v>38</v>
      </c>
      <c r="C43" s="68" t="s">
        <v>149</v>
      </c>
      <c r="D43" s="230" t="s">
        <v>153</v>
      </c>
      <c r="E43" s="230" t="s">
        <v>153</v>
      </c>
    </row>
    <row r="44" spans="2:5" ht="12.75">
      <c r="B44" s="177">
        <v>39</v>
      </c>
      <c r="C44" s="113" t="s">
        <v>86</v>
      </c>
      <c r="D44" s="223">
        <v>0.7803977252669391</v>
      </c>
      <c r="E44" s="223">
        <v>0.7803977252669391</v>
      </c>
    </row>
    <row r="45" spans="2:5" ht="12.75">
      <c r="B45" s="177">
        <v>40</v>
      </c>
      <c r="C45" s="113" t="s">
        <v>1416</v>
      </c>
      <c r="D45" s="223">
        <v>0.1358329627854087</v>
      </c>
      <c r="E45" s="223">
        <v>0.1358329627854087</v>
      </c>
    </row>
    <row r="46" spans="2:5" ht="12.75">
      <c r="B46" s="177">
        <v>41</v>
      </c>
      <c r="C46" s="113" t="s">
        <v>87</v>
      </c>
      <c r="D46" s="223">
        <v>0.3531073390427652</v>
      </c>
      <c r="E46" s="223">
        <v>0.3531073390427652</v>
      </c>
    </row>
    <row r="47" spans="2:5" ht="12.75">
      <c r="B47" s="177">
        <v>42</v>
      </c>
      <c r="C47" s="113" t="s">
        <v>73</v>
      </c>
      <c r="D47" s="223">
        <v>0.04891716331815219</v>
      </c>
      <c r="E47" s="223">
        <v>0.04891716331815219</v>
      </c>
    </row>
    <row r="48" spans="2:5" ht="12.75">
      <c r="B48" s="177">
        <v>43</v>
      </c>
      <c r="C48" s="112" t="s">
        <v>150</v>
      </c>
      <c r="D48" s="231">
        <v>1.3182551904132658</v>
      </c>
      <c r="E48" s="231">
        <v>1.3182551904132658</v>
      </c>
    </row>
    <row r="49" spans="1:5" s="7" customFormat="1" ht="12.75">
      <c r="A49" s="182"/>
      <c r="B49" s="177">
        <v>44</v>
      </c>
      <c r="C49" s="112" t="s">
        <v>146</v>
      </c>
      <c r="D49" s="231">
        <v>-0.0069982803693493904</v>
      </c>
      <c r="E49" s="231">
        <v>-0.0069982803693493904</v>
      </c>
    </row>
    <row r="50" spans="1:5" s="7" customFormat="1" ht="12.75">
      <c r="A50" s="182"/>
      <c r="B50" s="179"/>
      <c r="C50" s="12"/>
      <c r="D50" s="233"/>
      <c r="E50" s="233"/>
    </row>
    <row r="51" spans="2:5" ht="12.75">
      <c r="B51" s="177">
        <v>45</v>
      </c>
      <c r="C51" s="111" t="s">
        <v>88</v>
      </c>
      <c r="D51" s="232">
        <v>-0.29408298177393144</v>
      </c>
      <c r="E51" s="232">
        <v>-0.29408298177393144</v>
      </c>
    </row>
    <row r="53" spans="1:5" s="1" customFormat="1" ht="22.5" customHeight="1">
      <c r="A53" s="60"/>
      <c r="C53" s="201" t="s">
        <v>1696</v>
      </c>
      <c r="D53" s="202"/>
      <c r="E53" s="202"/>
    </row>
    <row r="54" spans="1:5" s="15" customFormat="1" ht="33" customHeight="1">
      <c r="A54" s="183"/>
      <c r="B54" s="186"/>
      <c r="C54" s="189" t="s">
        <v>1701</v>
      </c>
      <c r="D54" s="190" t="s">
        <v>1696</v>
      </c>
      <c r="E54" s="190" t="s">
        <v>1695</v>
      </c>
    </row>
    <row r="55" spans="1:5" s="13" customFormat="1" ht="12.75">
      <c r="A55" s="184"/>
      <c r="B55" s="187"/>
      <c r="C55" s="8"/>
      <c r="D55" s="9"/>
      <c r="E55" s="9"/>
    </row>
    <row r="56" spans="1:5" s="13" customFormat="1" ht="12.75">
      <c r="A56" s="184"/>
      <c r="B56" s="185">
        <v>1</v>
      </c>
      <c r="C56" s="192" t="s">
        <v>1698</v>
      </c>
      <c r="D56" s="234">
        <v>-353623.99999999977</v>
      </c>
      <c r="E56" s="234">
        <v>-353623.99999999977</v>
      </c>
    </row>
    <row r="57" spans="1:5" s="13" customFormat="1" ht="12.75">
      <c r="A57" s="184"/>
      <c r="B57" s="185">
        <v>2</v>
      </c>
      <c r="C57" s="193" t="s">
        <v>163</v>
      </c>
      <c r="D57" s="235">
        <v>9529147.94</v>
      </c>
      <c r="E57" s="235">
        <v>9529147.94</v>
      </c>
    </row>
    <row r="58" spans="1:5" s="13" customFormat="1" ht="12.75">
      <c r="A58" s="184"/>
      <c r="B58" s="185">
        <v>3</v>
      </c>
      <c r="C58" s="194" t="s">
        <v>1699</v>
      </c>
      <c r="D58" s="236">
        <v>-0.19337745867382133</v>
      </c>
      <c r="E58" s="236">
        <v>-0.19337745867382133</v>
      </c>
    </row>
    <row r="59" spans="1:5" s="13" customFormat="1" ht="12.75">
      <c r="A59" s="184"/>
      <c r="B59" s="185">
        <v>4</v>
      </c>
      <c r="C59" s="193" t="s">
        <v>164</v>
      </c>
      <c r="D59" s="237">
        <v>6.507344159487729</v>
      </c>
      <c r="E59" s="237">
        <v>6.507344159487729</v>
      </c>
    </row>
    <row r="60" spans="1:5" s="13" customFormat="1" ht="12.75">
      <c r="A60" s="184"/>
      <c r="B60" s="185">
        <v>5</v>
      </c>
      <c r="C60" s="172" t="s">
        <v>176</v>
      </c>
      <c r="D60" s="223">
        <v>47.44594499004743</v>
      </c>
      <c r="E60" s="223">
        <v>47.44594499004743</v>
      </c>
    </row>
    <row r="61" spans="1:5" s="13" customFormat="1" ht="12.75">
      <c r="A61" s="184"/>
      <c r="B61" s="185">
        <v>6</v>
      </c>
      <c r="C61" s="194" t="s">
        <v>165</v>
      </c>
      <c r="D61" s="236">
        <v>0.8241379804701485</v>
      </c>
      <c r="E61" s="236">
        <v>0.8241379804701485</v>
      </c>
    </row>
    <row r="62" spans="1:5" s="13" customFormat="1" ht="12.75">
      <c r="A62" s="184"/>
      <c r="B62" s="185">
        <v>7</v>
      </c>
      <c r="C62" s="193" t="s">
        <v>166</v>
      </c>
      <c r="D62" s="235">
        <v>86608.12</v>
      </c>
      <c r="E62" s="235">
        <v>86608.12</v>
      </c>
    </row>
    <row r="63" spans="1:5" s="13" customFormat="1" ht="12.75">
      <c r="A63" s="184"/>
      <c r="B63" s="185">
        <v>8</v>
      </c>
      <c r="C63" s="194" t="s">
        <v>167</v>
      </c>
      <c r="D63" s="236">
        <v>0.03613879900031595</v>
      </c>
      <c r="E63" s="236">
        <v>0.03613879900031595</v>
      </c>
    </row>
    <row r="64" spans="1:5" s="13" customFormat="1" ht="12.75">
      <c r="A64" s="184"/>
      <c r="B64" s="185">
        <v>9</v>
      </c>
      <c r="C64" s="192" t="s">
        <v>126</v>
      </c>
      <c r="D64" s="238">
        <v>-156.91</v>
      </c>
      <c r="E64" s="238">
        <v>-156.91</v>
      </c>
    </row>
    <row r="65" spans="1:5" s="13" customFormat="1" ht="12.75">
      <c r="A65" s="184"/>
      <c r="B65" s="185">
        <v>10</v>
      </c>
      <c r="C65" s="193" t="s">
        <v>168</v>
      </c>
      <c r="D65" s="235">
        <v>3278977.34</v>
      </c>
      <c r="E65" s="235">
        <v>3266070.93</v>
      </c>
    </row>
    <row r="66" spans="1:5" s="13" customFormat="1" ht="12.75">
      <c r="A66" s="184"/>
      <c r="B66" s="185">
        <v>11</v>
      </c>
      <c r="C66" s="194" t="s">
        <v>169</v>
      </c>
      <c r="D66" s="239">
        <v>0</v>
      </c>
      <c r="E66" s="239">
        <v>0</v>
      </c>
    </row>
    <row r="67" spans="1:5" s="13" customFormat="1" ht="12.75">
      <c r="A67" s="184"/>
      <c r="B67" s="185">
        <v>12</v>
      </c>
      <c r="C67" s="193" t="s">
        <v>1700</v>
      </c>
      <c r="D67" s="235">
        <v>-266734.1</v>
      </c>
      <c r="E67" s="235">
        <v>-181735.01</v>
      </c>
    </row>
    <row r="68" spans="1:5" s="13" customFormat="1" ht="12.75">
      <c r="A68" s="184"/>
      <c r="B68" s="185">
        <v>13</v>
      </c>
      <c r="C68" s="172" t="s">
        <v>433</v>
      </c>
      <c r="D68" s="226">
        <v>-311424.46</v>
      </c>
      <c r="E68" s="226">
        <v>-226425.37</v>
      </c>
    </row>
    <row r="69" spans="1:5" s="13" customFormat="1" ht="12.75">
      <c r="A69" s="184"/>
      <c r="B69" s="185">
        <v>14</v>
      </c>
      <c r="C69" s="172" t="s">
        <v>173</v>
      </c>
      <c r="D69" s="227">
        <v>4302.69</v>
      </c>
      <c r="E69" s="227">
        <v>4285.35</v>
      </c>
    </row>
    <row r="70" spans="1:5" s="13" customFormat="1" ht="12.75">
      <c r="A70" s="184"/>
      <c r="B70" s="185">
        <v>15</v>
      </c>
      <c r="C70" s="172" t="s">
        <v>174</v>
      </c>
      <c r="D70" s="223">
        <v>0.09483028928922058</v>
      </c>
      <c r="E70" s="223">
        <v>0.09445702699824503</v>
      </c>
    </row>
    <row r="71" spans="1:5" s="13" customFormat="1" ht="12.75">
      <c r="A71" s="184"/>
      <c r="B71" s="185">
        <v>16</v>
      </c>
      <c r="C71" s="194" t="s">
        <v>175</v>
      </c>
      <c r="D71" s="236">
        <v>0.5522746081261207</v>
      </c>
      <c r="E71" s="236">
        <v>0.550100795444309</v>
      </c>
    </row>
    <row r="72" spans="1:5" s="13" customFormat="1" ht="12.75">
      <c r="A72" s="184"/>
      <c r="B72" s="185">
        <v>17</v>
      </c>
      <c r="C72" s="193" t="s">
        <v>429</v>
      </c>
      <c r="D72" s="240">
        <v>0</v>
      </c>
      <c r="E72" s="240">
        <v>0</v>
      </c>
    </row>
    <row r="73" spans="1:5" s="13" customFormat="1" ht="12.75">
      <c r="A73" s="184"/>
      <c r="B73" s="185">
        <v>18</v>
      </c>
      <c r="C73" s="172" t="s">
        <v>430</v>
      </c>
      <c r="D73" s="299"/>
      <c r="E73" s="299"/>
    </row>
    <row r="74" spans="1:5" s="13" customFormat="1" ht="12.75">
      <c r="A74" s="184"/>
      <c r="B74" s="185">
        <v>19</v>
      </c>
      <c r="C74" s="172" t="s">
        <v>170</v>
      </c>
      <c r="D74" s="227"/>
      <c r="E74" s="227"/>
    </row>
    <row r="75" spans="1:5" s="13" customFormat="1" ht="12.75">
      <c r="A75" s="184"/>
      <c r="B75" s="185">
        <v>20</v>
      </c>
      <c r="C75" s="194" t="s">
        <v>171</v>
      </c>
      <c r="D75" s="241"/>
      <c r="E75" s="241"/>
    </row>
    <row r="76" spans="1:5" s="13" customFormat="1" ht="12.75">
      <c r="A76" s="184"/>
      <c r="B76" s="185"/>
      <c r="C76" s="8"/>
      <c r="D76" s="6"/>
      <c r="E76" s="6"/>
    </row>
    <row r="77" spans="1:5" s="15" customFormat="1" ht="12.75">
      <c r="A77" s="183"/>
      <c r="B77" s="185">
        <v>21</v>
      </c>
      <c r="C77" s="191" t="s">
        <v>148</v>
      </c>
      <c r="D77" s="242" t="s">
        <v>133</v>
      </c>
      <c r="E77" s="242" t="s">
        <v>133</v>
      </c>
    </row>
    <row r="78" spans="1:5" s="13" customFormat="1" ht="12.75">
      <c r="A78" s="163">
        <v>10</v>
      </c>
      <c r="B78" s="185">
        <v>22</v>
      </c>
      <c r="C78" s="197" t="s">
        <v>509</v>
      </c>
      <c r="D78" s="243">
        <v>0.04609009400545917</v>
      </c>
      <c r="E78" s="243">
        <v>0.04609009400545917</v>
      </c>
    </row>
    <row r="79" spans="1:5" s="13" customFormat="1" ht="12.75">
      <c r="A79" s="163">
        <v>120</v>
      </c>
      <c r="B79" s="185">
        <v>23</v>
      </c>
      <c r="C79" s="196" t="s">
        <v>510</v>
      </c>
      <c r="D79" s="244">
        <v>0.524811561969488</v>
      </c>
      <c r="E79" s="244">
        <v>0.524811561969488</v>
      </c>
    </row>
    <row r="80" spans="1:5" s="13" customFormat="1" ht="12.75">
      <c r="A80" s="163">
        <v>130</v>
      </c>
      <c r="B80" s="185">
        <v>24</v>
      </c>
      <c r="C80" s="113" t="s">
        <v>511</v>
      </c>
      <c r="D80" s="223">
        <v>0.34047306315618026</v>
      </c>
      <c r="E80" s="223">
        <v>0.34047306315618026</v>
      </c>
    </row>
    <row r="81" spans="1:5" s="13" customFormat="1" ht="12.75">
      <c r="A81" s="163">
        <v>140</v>
      </c>
      <c r="B81" s="185">
        <v>25</v>
      </c>
      <c r="C81" s="113" t="s">
        <v>512</v>
      </c>
      <c r="D81" s="223">
        <v>0.5198810242916652</v>
      </c>
      <c r="E81" s="223">
        <v>0.5198810242916652</v>
      </c>
    </row>
    <row r="82" spans="1:5" s="13" customFormat="1" ht="12.75">
      <c r="A82" s="163">
        <v>160</v>
      </c>
      <c r="B82" s="185">
        <v>26</v>
      </c>
      <c r="C82" s="113" t="s">
        <v>513</v>
      </c>
      <c r="D82" s="223">
        <v>0.49706962708431307</v>
      </c>
      <c r="E82" s="223">
        <v>0.49706962708431307</v>
      </c>
    </row>
    <row r="83" spans="1:5" s="13" customFormat="1" ht="12.75">
      <c r="A83" s="163">
        <v>161</v>
      </c>
      <c r="B83" s="185">
        <v>27</v>
      </c>
      <c r="C83" s="113" t="s">
        <v>514</v>
      </c>
      <c r="D83" s="223">
        <v>0</v>
      </c>
      <c r="E83" s="223">
        <v>0</v>
      </c>
    </row>
    <row r="84" spans="1:5" s="13" customFormat="1" ht="12.75">
      <c r="A84" s="163">
        <v>170</v>
      </c>
      <c r="B84" s="185">
        <v>28</v>
      </c>
      <c r="C84" s="113" t="s">
        <v>515</v>
      </c>
      <c r="D84" s="223">
        <v>0.5987638810882182</v>
      </c>
      <c r="E84" s="223">
        <v>0.5987638810882182</v>
      </c>
    </row>
    <row r="85" spans="1:5" s="13" customFormat="1" ht="12.75">
      <c r="A85" s="163">
        <v>180</v>
      </c>
      <c r="B85" s="185">
        <v>29</v>
      </c>
      <c r="C85" s="113" t="s">
        <v>516</v>
      </c>
      <c r="D85" s="223">
        <v>0.3062824430972293</v>
      </c>
      <c r="E85" s="223">
        <v>0.3062824430972293</v>
      </c>
    </row>
    <row r="86" spans="1:5" s="13" customFormat="1" ht="12.75">
      <c r="A86" s="163">
        <v>190</v>
      </c>
      <c r="B86" s="185">
        <v>30</v>
      </c>
      <c r="C86" s="113" t="s">
        <v>517</v>
      </c>
      <c r="D86" s="223">
        <v>-0.021669191545120002</v>
      </c>
      <c r="E86" s="223">
        <v>-0.021669191545120002</v>
      </c>
    </row>
    <row r="87" spans="1:5" s="13" customFormat="1" ht="12.75">
      <c r="A87" s="163">
        <v>200</v>
      </c>
      <c r="B87" s="185">
        <v>31</v>
      </c>
      <c r="C87" s="113" t="s">
        <v>518</v>
      </c>
      <c r="D87" s="223">
        <v>0.5844063985129996</v>
      </c>
      <c r="E87" s="223">
        <v>0.5844063985129996</v>
      </c>
    </row>
    <row r="88" spans="1:5" s="13" customFormat="1" ht="12.75">
      <c r="A88" s="163">
        <v>210</v>
      </c>
      <c r="B88" s="185">
        <v>32</v>
      </c>
      <c r="C88" s="113" t="s">
        <v>519</v>
      </c>
      <c r="D88" s="223">
        <v>0.7989395355227356</v>
      </c>
      <c r="E88" s="223">
        <v>0.7989395355227356</v>
      </c>
    </row>
    <row r="89" spans="1:5" s="13" customFormat="1" ht="12.75">
      <c r="A89" s="163">
        <v>211</v>
      </c>
      <c r="B89" s="185">
        <v>33</v>
      </c>
      <c r="C89" s="113" t="s">
        <v>520</v>
      </c>
      <c r="D89" s="223">
        <v>1</v>
      </c>
      <c r="E89" s="223">
        <v>1</v>
      </c>
    </row>
    <row r="90" spans="1:5" s="13" customFormat="1" ht="12.75">
      <c r="A90" s="163">
        <v>220</v>
      </c>
      <c r="B90" s="185">
        <v>34</v>
      </c>
      <c r="C90" s="113" t="s">
        <v>521</v>
      </c>
      <c r="D90" s="223">
        <v>0</v>
      </c>
      <c r="E90" s="223">
        <v>0</v>
      </c>
    </row>
    <row r="91" spans="1:5" s="13" customFormat="1" ht="12.75">
      <c r="A91" s="163">
        <v>250</v>
      </c>
      <c r="B91" s="185">
        <v>35</v>
      </c>
      <c r="C91" s="195" t="s">
        <v>522</v>
      </c>
      <c r="D91" s="245">
        <v>-0.14089285246498504</v>
      </c>
      <c r="E91" s="245">
        <v>-0.14089285246498504</v>
      </c>
    </row>
    <row r="92" spans="1:5" s="13" customFormat="1" ht="12.75">
      <c r="A92" s="163">
        <v>40</v>
      </c>
      <c r="B92" s="185">
        <v>36</v>
      </c>
      <c r="C92" s="197" t="s">
        <v>589</v>
      </c>
      <c r="D92" s="243">
        <v>0.5018785667000568</v>
      </c>
      <c r="E92" s="243">
        <v>0.5018785667000568</v>
      </c>
    </row>
    <row r="93" spans="1:5" s="13" customFormat="1" ht="12.75">
      <c r="A93" s="181"/>
      <c r="B93" s="185">
        <v>37</v>
      </c>
      <c r="C93" s="198" t="s">
        <v>591</v>
      </c>
      <c r="D93" s="246">
        <v>0.17170858101005537</v>
      </c>
      <c r="E93" s="246">
        <v>0.17170858101005537</v>
      </c>
    </row>
    <row r="94" spans="1:5" s="15" customFormat="1" ht="12.75">
      <c r="A94" s="183"/>
      <c r="B94" s="188"/>
      <c r="C94" s="10"/>
      <c r="D94" s="11"/>
      <c r="E94" s="11"/>
    </row>
    <row r="95" spans="1:5" s="13" customFormat="1" ht="12.75">
      <c r="A95" s="184"/>
      <c r="B95" s="185">
        <v>38</v>
      </c>
      <c r="C95" s="191" t="s">
        <v>149</v>
      </c>
      <c r="D95" s="242" t="s">
        <v>153</v>
      </c>
      <c r="E95" s="242" t="s">
        <v>153</v>
      </c>
    </row>
    <row r="96" spans="1:5" s="13" customFormat="1" ht="12.75">
      <c r="A96" s="184"/>
      <c r="B96" s="185">
        <v>39</v>
      </c>
      <c r="C96" s="199" t="s">
        <v>86</v>
      </c>
      <c r="D96" s="237">
        <v>0.5522746081261207</v>
      </c>
      <c r="E96" s="237">
        <v>0.550100795444309</v>
      </c>
    </row>
    <row r="97" spans="1:5" s="13" customFormat="1" ht="12.75">
      <c r="A97" s="184"/>
      <c r="B97" s="185">
        <v>40</v>
      </c>
      <c r="C97" s="113" t="s">
        <v>1416</v>
      </c>
      <c r="D97" s="223">
        <v>0.11237577461933536</v>
      </c>
      <c r="E97" s="223">
        <v>0.11237577461933536</v>
      </c>
    </row>
    <row r="98" spans="1:5" s="13" customFormat="1" ht="12.75">
      <c r="A98" s="184"/>
      <c r="B98" s="185">
        <v>41</v>
      </c>
      <c r="C98" s="113" t="s">
        <v>87</v>
      </c>
      <c r="D98" s="223">
        <v>0.25369643621419213</v>
      </c>
      <c r="E98" s="223">
        <v>0.25369662990744873</v>
      </c>
    </row>
    <row r="99" spans="1:5" s="13" customFormat="1" ht="12.75">
      <c r="A99" s="184"/>
      <c r="B99" s="185">
        <v>42</v>
      </c>
      <c r="C99" s="200" t="s">
        <v>73</v>
      </c>
      <c r="D99" s="236">
        <v>0.03185072879277385</v>
      </c>
      <c r="E99" s="236">
        <v>0.03185072879277385</v>
      </c>
    </row>
    <row r="100" spans="1:5" s="13" customFormat="1" ht="12.75">
      <c r="A100" s="184"/>
      <c r="B100" s="185">
        <v>43</v>
      </c>
      <c r="C100" s="197" t="s">
        <v>150</v>
      </c>
      <c r="D100" s="243">
        <v>0.9501975477524222</v>
      </c>
      <c r="E100" s="243">
        <v>0.9480239287638672</v>
      </c>
    </row>
    <row r="101" spans="1:5" s="15" customFormat="1" ht="12.75">
      <c r="A101" s="183"/>
      <c r="B101" s="185">
        <v>44</v>
      </c>
      <c r="C101" s="197" t="s">
        <v>146</v>
      </c>
      <c r="D101" s="243">
        <v>-0.0011047421212615146</v>
      </c>
      <c r="E101" s="243">
        <v>-0.0011047421212615146</v>
      </c>
    </row>
    <row r="102" spans="1:5" s="15" customFormat="1" ht="12.75">
      <c r="A102" s="183"/>
      <c r="B102" s="187"/>
      <c r="C102" s="12"/>
      <c r="D102" s="233"/>
      <c r="E102" s="233"/>
    </row>
    <row r="103" spans="1:5" s="13" customFormat="1" ht="12.75">
      <c r="A103" s="184"/>
      <c r="B103" s="185">
        <v>45</v>
      </c>
      <c r="C103" s="198" t="s">
        <v>88</v>
      </c>
      <c r="D103" s="246">
        <v>0.053543034523530035</v>
      </c>
      <c r="E103" s="246">
        <v>0.0557166535120851</v>
      </c>
    </row>
    <row r="104" spans="1:5" s="13" customFormat="1" ht="12.75">
      <c r="A104" s="184"/>
      <c r="B104" s="185"/>
      <c r="C104" s="6"/>
      <c r="D104" s="6"/>
      <c r="E104" s="6"/>
    </row>
  </sheetData>
  <printOptions/>
  <pageMargins left="0.3937007874015748" right="0.3937007874015748" top="0.3937007874015748" bottom="0.3937007874015748" header="0.15748031496062992" footer="0.1968503937007874"/>
  <pageSetup fitToHeight="2" fitToWidth="1" horizontalDpi="200" verticalDpi="200" orientation="landscape" paperSize="9" r:id="rId1"/>
  <headerFooter alignWithMargins="0">
    <oddFooter>&amp;L&amp;8&amp;A&amp;R&amp;8Azets Insight AS - 2021</oddFooter>
  </headerFooter>
  <rowBreaks count="1" manualBreakCount="1"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workbookViewId="0" topLeftCell="A1">
      <selection activeCell="B1" sqref="B1"/>
    </sheetView>
  </sheetViews>
  <sheetFormatPr defaultColWidth="11.421875" defaultRowHeight="11.25" customHeight="1"/>
  <cols>
    <col min="1" max="1" width="16.7109375" style="448" customWidth="1"/>
    <col min="2" max="2" width="20.7109375" style="448" customWidth="1"/>
    <col min="3" max="14" width="9.7109375" style="454" customWidth="1"/>
    <col min="15" max="15" width="11.7109375" style="454" customWidth="1"/>
    <col min="16" max="16384" width="11.421875" style="448" customWidth="1"/>
  </cols>
  <sheetData>
    <row r="1" spans="1:8" s="435" customFormat="1" ht="11.25" customHeight="1">
      <c r="A1" s="433" t="s">
        <v>501</v>
      </c>
      <c r="B1" s="434" t="s">
        <v>1712</v>
      </c>
      <c r="D1" s="435" t="s">
        <v>1711</v>
      </c>
      <c r="H1" s="436" t="s">
        <v>1710</v>
      </c>
    </row>
    <row r="2" s="435" customFormat="1" ht="11.25" customHeight="1"/>
    <row r="3" spans="1:15" s="435" customFormat="1" ht="11.25" customHeight="1">
      <c r="A3" s="437" t="s">
        <v>1709</v>
      </c>
      <c r="B3" s="438"/>
      <c r="C3" s="437" t="s">
        <v>1708</v>
      </c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9"/>
    </row>
    <row r="4" spans="1:15" s="435" customFormat="1" ht="11.25" customHeight="1">
      <c r="A4" s="437" t="s">
        <v>1707</v>
      </c>
      <c r="B4" s="437" t="s">
        <v>7</v>
      </c>
      <c r="C4" s="440">
        <v>202201</v>
      </c>
      <c r="D4" s="441">
        <v>202202</v>
      </c>
      <c r="E4" s="441">
        <v>202203</v>
      </c>
      <c r="F4" s="441">
        <v>202204</v>
      </c>
      <c r="G4" s="441">
        <v>202205</v>
      </c>
      <c r="H4" s="441">
        <v>202206</v>
      </c>
      <c r="I4" s="441">
        <v>202207</v>
      </c>
      <c r="J4" s="441">
        <v>202208</v>
      </c>
      <c r="K4" s="441">
        <v>202209</v>
      </c>
      <c r="L4" s="441">
        <v>202210</v>
      </c>
      <c r="M4" s="441">
        <v>202211</v>
      </c>
      <c r="N4" s="441">
        <v>202212</v>
      </c>
      <c r="O4" s="442" t="s">
        <v>1705</v>
      </c>
    </row>
    <row r="5" spans="1:15" ht="11.25" customHeight="1">
      <c r="A5" s="443" t="s">
        <v>554</v>
      </c>
      <c r="B5" s="444"/>
      <c r="C5" s="445">
        <v>201277.4</v>
      </c>
      <c r="D5" s="446">
        <v>198703.5</v>
      </c>
      <c r="E5" s="446">
        <v>184615.69</v>
      </c>
      <c r="F5" s="446">
        <v>221079.5</v>
      </c>
      <c r="G5" s="446">
        <v>217520.45</v>
      </c>
      <c r="H5" s="446">
        <v>232234.04</v>
      </c>
      <c r="I5" s="446">
        <v>195323.49</v>
      </c>
      <c r="J5" s="446">
        <v>189584.29</v>
      </c>
      <c r="K5" s="446">
        <v>202142.38</v>
      </c>
      <c r="L5" s="446">
        <v>198131.1</v>
      </c>
      <c r="M5" s="446">
        <v>230421.95</v>
      </c>
      <c r="N5" s="446">
        <v>229169</v>
      </c>
      <c r="O5" s="447">
        <v>2500202.7900000005</v>
      </c>
    </row>
    <row r="6" spans="1:15" ht="11.25" customHeight="1">
      <c r="A6" s="443" t="s">
        <v>555</v>
      </c>
      <c r="B6" s="444"/>
      <c r="C6" s="445">
        <v>24153.289999999997</v>
      </c>
      <c r="D6" s="446">
        <v>23844.42</v>
      </c>
      <c r="E6" s="446">
        <v>22153.879999999997</v>
      </c>
      <c r="F6" s="446">
        <v>26529.54</v>
      </c>
      <c r="G6" s="446">
        <v>26102.45</v>
      </c>
      <c r="H6" s="446">
        <v>27868.09</v>
      </c>
      <c r="I6" s="446">
        <v>23438.82</v>
      </c>
      <c r="J6" s="446">
        <v>22750.11</v>
      </c>
      <c r="K6" s="446">
        <v>24257.09</v>
      </c>
      <c r="L6" s="446">
        <v>23775.73</v>
      </c>
      <c r="M6" s="446">
        <v>27650.63</v>
      </c>
      <c r="N6" s="446">
        <v>27500.28</v>
      </c>
      <c r="O6" s="447">
        <v>300024.3300000001</v>
      </c>
    </row>
    <row r="7" spans="1:15" ht="11.25" customHeight="1">
      <c r="A7" s="443" t="s">
        <v>556</v>
      </c>
      <c r="B7" s="444"/>
      <c r="C7" s="445">
        <v>28380.12</v>
      </c>
      <c r="D7" s="446">
        <v>29542.82</v>
      </c>
      <c r="E7" s="446">
        <v>26434.79</v>
      </c>
      <c r="F7" s="446">
        <v>31575.64</v>
      </c>
      <c r="G7" s="446">
        <v>31073.39</v>
      </c>
      <c r="H7" s="446">
        <v>33148.29</v>
      </c>
      <c r="I7" s="446">
        <v>27943.190000000002</v>
      </c>
      <c r="J7" s="446">
        <v>27251.68</v>
      </c>
      <c r="K7" s="446">
        <v>29022.37</v>
      </c>
      <c r="L7" s="446">
        <v>28457.31</v>
      </c>
      <c r="M7" s="446">
        <v>33010.94</v>
      </c>
      <c r="N7" s="446">
        <v>32832.56</v>
      </c>
      <c r="O7" s="447">
        <v>358673.10000000003</v>
      </c>
    </row>
    <row r="8" spans="1:15" ht="11.25" customHeight="1">
      <c r="A8" s="443" t="s">
        <v>557</v>
      </c>
      <c r="B8" s="444"/>
      <c r="C8" s="445">
        <v>3405.61</v>
      </c>
      <c r="D8" s="446">
        <v>3362.05</v>
      </c>
      <c r="E8" s="446">
        <v>3123.69</v>
      </c>
      <c r="F8" s="446">
        <v>3740.69</v>
      </c>
      <c r="G8" s="446">
        <v>3680.4700000000003</v>
      </c>
      <c r="H8" s="446">
        <v>3929.4</v>
      </c>
      <c r="I8" s="446">
        <v>3304.85</v>
      </c>
      <c r="J8" s="446">
        <v>3207.75</v>
      </c>
      <c r="K8" s="446">
        <v>3420.2400000000002</v>
      </c>
      <c r="L8" s="446">
        <v>3352.37</v>
      </c>
      <c r="M8" s="446">
        <v>3898.75</v>
      </c>
      <c r="N8" s="446">
        <v>3877.55</v>
      </c>
      <c r="O8" s="447">
        <v>42303.420000000006</v>
      </c>
    </row>
    <row r="9" spans="1:15" ht="11.25" customHeight="1">
      <c r="A9" s="443" t="s">
        <v>558</v>
      </c>
      <c r="B9" s="444"/>
      <c r="C9" s="445">
        <v>2865</v>
      </c>
      <c r="D9" s="446">
        <v>2861</v>
      </c>
      <c r="E9" s="446">
        <v>3227.8</v>
      </c>
      <c r="F9" s="446">
        <v>4154</v>
      </c>
      <c r="G9" s="446">
        <v>2855</v>
      </c>
      <c r="H9" s="446">
        <v>7432</v>
      </c>
      <c r="I9" s="446">
        <v>7831</v>
      </c>
      <c r="J9" s="446">
        <v>4817</v>
      </c>
      <c r="K9" s="446">
        <v>3698</v>
      </c>
      <c r="L9" s="446">
        <v>3686</v>
      </c>
      <c r="M9" s="446">
        <v>8289</v>
      </c>
      <c r="N9" s="446">
        <v>26057.9</v>
      </c>
      <c r="O9" s="447">
        <v>77773.70000000001</v>
      </c>
    </row>
    <row r="10" spans="1:15" ht="11.25" customHeight="1">
      <c r="A10" s="443" t="s">
        <v>1685</v>
      </c>
      <c r="B10" s="444"/>
      <c r="C10" s="445">
        <v>55600</v>
      </c>
      <c r="D10" s="446">
        <v>55600</v>
      </c>
      <c r="E10" s="446">
        <v>55600</v>
      </c>
      <c r="F10" s="446">
        <v>55600</v>
      </c>
      <c r="G10" s="446">
        <v>55600</v>
      </c>
      <c r="H10" s="446">
        <v>55600</v>
      </c>
      <c r="I10" s="446">
        <v>55600</v>
      </c>
      <c r="J10" s="446">
        <v>55600</v>
      </c>
      <c r="K10" s="446">
        <v>55600</v>
      </c>
      <c r="L10" s="446">
        <v>55600</v>
      </c>
      <c r="M10" s="446">
        <v>55600</v>
      </c>
      <c r="N10" s="446">
        <v>55600</v>
      </c>
      <c r="O10" s="447">
        <v>667200</v>
      </c>
    </row>
    <row r="11" spans="1:15" ht="11.25" customHeight="1">
      <c r="A11" s="443" t="s">
        <v>1706</v>
      </c>
      <c r="B11" s="444"/>
      <c r="C11" s="445">
        <v>0</v>
      </c>
      <c r="D11" s="446">
        <v>0</v>
      </c>
      <c r="E11" s="446">
        <v>0</v>
      </c>
      <c r="F11" s="446">
        <v>0</v>
      </c>
      <c r="G11" s="446">
        <v>0</v>
      </c>
      <c r="H11" s="446">
        <v>0</v>
      </c>
      <c r="I11" s="446">
        <v>0</v>
      </c>
      <c r="J11" s="446">
        <v>0</v>
      </c>
      <c r="K11" s="446">
        <v>0</v>
      </c>
      <c r="L11" s="446">
        <v>0</v>
      </c>
      <c r="M11" s="446">
        <v>0</v>
      </c>
      <c r="N11" s="446">
        <v>0</v>
      </c>
      <c r="O11" s="447">
        <v>0</v>
      </c>
    </row>
    <row r="12" spans="1:15" ht="11.25" customHeight="1">
      <c r="A12" s="443" t="s">
        <v>1687</v>
      </c>
      <c r="B12" s="444"/>
      <c r="C12" s="445">
        <v>55260.880000000005</v>
      </c>
      <c r="D12" s="446">
        <v>42311.63</v>
      </c>
      <c r="E12" s="446">
        <v>33503.57</v>
      </c>
      <c r="F12" s="446">
        <v>1440.5</v>
      </c>
      <c r="G12" s="446">
        <v>47322.600000000006</v>
      </c>
      <c r="H12" s="446">
        <v>45852.4</v>
      </c>
      <c r="I12" s="446">
        <v>86063.73</v>
      </c>
      <c r="J12" s="446">
        <v>64258.35</v>
      </c>
      <c r="K12" s="446">
        <v>152606.09000000003</v>
      </c>
      <c r="L12" s="446">
        <v>81366.72</v>
      </c>
      <c r="M12" s="446">
        <v>1686.53</v>
      </c>
      <c r="N12" s="446">
        <v>66810.86</v>
      </c>
      <c r="O12" s="447">
        <v>678483.86</v>
      </c>
    </row>
    <row r="13" spans="1:15" ht="11.25" customHeight="1">
      <c r="A13" s="443" t="s">
        <v>565</v>
      </c>
      <c r="B13" s="444"/>
      <c r="C13" s="445">
        <v>21683.76</v>
      </c>
      <c r="D13" s="446">
        <v>7032.4400000000005</v>
      </c>
      <c r="E13" s="446">
        <v>12698.18</v>
      </c>
      <c r="F13" s="446">
        <v>4263.8</v>
      </c>
      <c r="G13" s="446">
        <v>6833.68</v>
      </c>
      <c r="H13" s="446">
        <v>26392.32</v>
      </c>
      <c r="I13" s="446">
        <v>7877.529999999999</v>
      </c>
      <c r="J13" s="446">
        <v>10826.18</v>
      </c>
      <c r="K13" s="446">
        <v>8697.25</v>
      </c>
      <c r="L13" s="446">
        <v>10374.779999999999</v>
      </c>
      <c r="M13" s="446">
        <v>7567.62</v>
      </c>
      <c r="N13" s="446">
        <v>8367.69</v>
      </c>
      <c r="O13" s="447">
        <v>132615.22999999998</v>
      </c>
    </row>
    <row r="14" spans="1:15" ht="11.25" customHeight="1">
      <c r="A14" s="443" t="s">
        <v>566</v>
      </c>
      <c r="B14" s="444"/>
      <c r="C14" s="445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>
        <v>2400</v>
      </c>
      <c r="O14" s="447">
        <v>2400</v>
      </c>
    </row>
    <row r="15" spans="1:15" ht="11.25" customHeight="1">
      <c r="A15" s="443" t="s">
        <v>567</v>
      </c>
      <c r="B15" s="444"/>
      <c r="C15" s="445">
        <v>7327.469999999999</v>
      </c>
      <c r="D15" s="446"/>
      <c r="E15" s="446">
        <v>264.78</v>
      </c>
      <c r="F15" s="446">
        <v>6759.129999999999</v>
      </c>
      <c r="G15" s="446">
        <v>264.78</v>
      </c>
      <c r="H15" s="446">
        <v>0</v>
      </c>
      <c r="I15" s="446">
        <v>7069.860000000001</v>
      </c>
      <c r="J15" s="446"/>
      <c r="K15" s="446">
        <v>1680</v>
      </c>
      <c r="L15" s="446">
        <v>15131.86</v>
      </c>
      <c r="M15" s="446">
        <v>3340.2</v>
      </c>
      <c r="N15" s="446">
        <v>8142.4</v>
      </c>
      <c r="O15" s="447">
        <v>49980.479999999996</v>
      </c>
    </row>
    <row r="16" spans="1:15" ht="11.25" customHeight="1">
      <c r="A16" s="443" t="s">
        <v>568</v>
      </c>
      <c r="B16" s="444"/>
      <c r="C16" s="445">
        <v>3745.9399999999996</v>
      </c>
      <c r="D16" s="446">
        <v>2627.47</v>
      </c>
      <c r="E16" s="446">
        <v>4524.36</v>
      </c>
      <c r="F16" s="446">
        <v>5135.59</v>
      </c>
      <c r="G16" s="446">
        <v>5050.41</v>
      </c>
      <c r="H16" s="446">
        <v>8141.59</v>
      </c>
      <c r="I16" s="446">
        <v>4788.029999999999</v>
      </c>
      <c r="J16" s="446">
        <v>3789.03</v>
      </c>
      <c r="K16" s="446">
        <v>7900.17</v>
      </c>
      <c r="L16" s="446">
        <v>2107.67</v>
      </c>
      <c r="M16" s="446">
        <v>5703.66</v>
      </c>
      <c r="N16" s="446">
        <v>5810.28</v>
      </c>
      <c r="O16" s="447">
        <v>59324.2</v>
      </c>
    </row>
    <row r="17" spans="1:15" ht="11.25" customHeight="1">
      <c r="A17" s="443" t="s">
        <v>569</v>
      </c>
      <c r="B17" s="444"/>
      <c r="C17" s="445">
        <v>15180.980000000001</v>
      </c>
      <c r="D17" s="446">
        <v>9905.100000000002</v>
      </c>
      <c r="E17" s="446">
        <v>5836.6</v>
      </c>
      <c r="F17" s="446">
        <v>2663.9999999999995</v>
      </c>
      <c r="G17" s="446">
        <v>6848.37</v>
      </c>
      <c r="H17" s="446">
        <v>8678.029999999999</v>
      </c>
      <c r="I17" s="446">
        <v>943.55</v>
      </c>
      <c r="J17" s="446">
        <v>9144.810000000001</v>
      </c>
      <c r="K17" s="446">
        <v>1630.75</v>
      </c>
      <c r="L17" s="446">
        <v>1316.51</v>
      </c>
      <c r="M17" s="446">
        <v>3801.13</v>
      </c>
      <c r="N17" s="446">
        <v>25369.51</v>
      </c>
      <c r="O17" s="447">
        <v>91319.34</v>
      </c>
    </row>
    <row r="18" spans="1:15" ht="11.25" customHeight="1">
      <c r="A18" s="443" t="s">
        <v>570</v>
      </c>
      <c r="B18" s="444"/>
      <c r="C18" s="445">
        <v>2110.3</v>
      </c>
      <c r="D18" s="446">
        <v>1189.3</v>
      </c>
      <c r="E18" s="446">
        <v>847.39</v>
      </c>
      <c r="F18" s="446">
        <v>800.7</v>
      </c>
      <c r="G18" s="446">
        <v>1685.71</v>
      </c>
      <c r="H18" s="446">
        <v>805.69</v>
      </c>
      <c r="I18" s="446">
        <v>805.69</v>
      </c>
      <c r="J18" s="446">
        <v>805.69</v>
      </c>
      <c r="K18" s="446">
        <v>874.49</v>
      </c>
      <c r="L18" s="446">
        <v>5622.38</v>
      </c>
      <c r="M18" s="446">
        <v>2775.69</v>
      </c>
      <c r="N18" s="446">
        <v>2317.69</v>
      </c>
      <c r="O18" s="447">
        <v>20640.719999999998</v>
      </c>
    </row>
    <row r="19" spans="1:15" ht="11.25" customHeight="1">
      <c r="A19" s="443" t="s">
        <v>571</v>
      </c>
      <c r="B19" s="444"/>
      <c r="C19" s="445">
        <v>11999.5</v>
      </c>
      <c r="D19" s="446">
        <v>11440</v>
      </c>
      <c r="E19" s="446">
        <v>34153.5</v>
      </c>
      <c r="F19" s="446">
        <v>11578.5</v>
      </c>
      <c r="G19" s="446">
        <v>13887</v>
      </c>
      <c r="H19" s="446">
        <v>24249.3</v>
      </c>
      <c r="I19" s="446">
        <v>12038</v>
      </c>
      <c r="J19" s="446">
        <v>13070</v>
      </c>
      <c r="K19" s="446">
        <v>11503</v>
      </c>
      <c r="L19" s="446">
        <v>11886</v>
      </c>
      <c r="M19" s="446">
        <v>12281.5</v>
      </c>
      <c r="N19" s="446">
        <v>19829.5</v>
      </c>
      <c r="O19" s="447">
        <v>187915.8</v>
      </c>
    </row>
    <row r="20" spans="1:15" ht="11.25" customHeight="1">
      <c r="A20" s="443" t="s">
        <v>572</v>
      </c>
      <c r="B20" s="444"/>
      <c r="C20" s="445"/>
      <c r="D20" s="446">
        <v>427.88</v>
      </c>
      <c r="E20" s="446">
        <v>63.2</v>
      </c>
      <c r="F20" s="446">
        <v>256.25</v>
      </c>
      <c r="G20" s="446">
        <v>0</v>
      </c>
      <c r="H20" s="446">
        <v>77.6</v>
      </c>
      <c r="I20" s="446">
        <v>979.12</v>
      </c>
      <c r="J20" s="446">
        <v>421.33</v>
      </c>
      <c r="K20" s="446">
        <v>1080.3</v>
      </c>
      <c r="L20" s="446">
        <v>944.1</v>
      </c>
      <c r="M20" s="446">
        <v>575.23</v>
      </c>
      <c r="N20" s="446">
        <v>1270.4</v>
      </c>
      <c r="O20" s="447">
        <v>6095.41</v>
      </c>
    </row>
    <row r="21" spans="1:15" ht="11.25" customHeight="1">
      <c r="A21" s="443" t="s">
        <v>573</v>
      </c>
      <c r="B21" s="444"/>
      <c r="C21" s="445">
        <v>364</v>
      </c>
      <c r="D21" s="446">
        <v>3541.11</v>
      </c>
      <c r="E21" s="446">
        <v>364</v>
      </c>
      <c r="F21" s="446">
        <v>364</v>
      </c>
      <c r="G21" s="446">
        <v>3621.18</v>
      </c>
      <c r="H21" s="446">
        <v>364</v>
      </c>
      <c r="I21" s="446">
        <v>364</v>
      </c>
      <c r="J21" s="446">
        <v>3638.93</v>
      </c>
      <c r="K21" s="446">
        <v>364</v>
      </c>
      <c r="L21" s="446">
        <v>523.04</v>
      </c>
      <c r="M21" s="446">
        <v>-155.33999999999992</v>
      </c>
      <c r="N21" s="446">
        <v>612.76</v>
      </c>
      <c r="O21" s="447">
        <v>13965.680000000002</v>
      </c>
    </row>
    <row r="22" spans="1:15" ht="11.25" customHeight="1">
      <c r="A22" s="443" t="s">
        <v>1689</v>
      </c>
      <c r="B22" s="444"/>
      <c r="C22" s="445">
        <v>427.21</v>
      </c>
      <c r="D22" s="446">
        <v>772.81</v>
      </c>
      <c r="E22" s="446">
        <v>806.42</v>
      </c>
      <c r="F22" s="446"/>
      <c r="G22" s="446">
        <v>1070.4</v>
      </c>
      <c r="H22" s="446"/>
      <c r="I22" s="446">
        <v>-5.7980287238024175E-12</v>
      </c>
      <c r="J22" s="446">
        <v>0</v>
      </c>
      <c r="K22" s="446"/>
      <c r="L22" s="446">
        <v>0</v>
      </c>
      <c r="M22" s="446"/>
      <c r="N22" s="446">
        <v>920</v>
      </c>
      <c r="O22" s="447">
        <v>3996.8399999999942</v>
      </c>
    </row>
    <row r="23" spans="1:15" ht="11.25" customHeight="1">
      <c r="A23" s="443" t="s">
        <v>560</v>
      </c>
      <c r="B23" s="444"/>
      <c r="C23" s="445">
        <v>208.92</v>
      </c>
      <c r="D23" s="446">
        <v>208.92</v>
      </c>
      <c r="E23" s="446">
        <v>417.84</v>
      </c>
      <c r="F23" s="446">
        <v>993.75</v>
      </c>
      <c r="G23" s="446">
        <v>3252.93</v>
      </c>
      <c r="H23" s="446">
        <v>2477.56</v>
      </c>
      <c r="I23" s="446">
        <v>408</v>
      </c>
      <c r="J23" s="446">
        <v>2443.38</v>
      </c>
      <c r="K23" s="446">
        <v>1461.59</v>
      </c>
      <c r="L23" s="446">
        <v>432</v>
      </c>
      <c r="M23" s="446">
        <v>711.79</v>
      </c>
      <c r="N23" s="446"/>
      <c r="O23" s="447">
        <v>13016.68</v>
      </c>
    </row>
    <row r="24" spans="1:15" ht="11.25" customHeight="1">
      <c r="A24" s="443" t="s">
        <v>574</v>
      </c>
      <c r="B24" s="444"/>
      <c r="C24" s="445">
        <v>50103.84</v>
      </c>
      <c r="D24" s="446">
        <v>103</v>
      </c>
      <c r="E24" s="446">
        <v>8603.84</v>
      </c>
      <c r="F24" s="446">
        <v>22187.84</v>
      </c>
      <c r="G24" s="446">
        <v>11445.66</v>
      </c>
      <c r="H24" s="446">
        <v>2248.45</v>
      </c>
      <c r="I24" s="446">
        <v>103</v>
      </c>
      <c r="J24" s="446">
        <v>105.38</v>
      </c>
      <c r="K24" s="446">
        <v>1285.23</v>
      </c>
      <c r="L24" s="446">
        <v>104.31</v>
      </c>
      <c r="M24" s="446">
        <v>103.46</v>
      </c>
      <c r="N24" s="446">
        <v>979.03</v>
      </c>
      <c r="O24" s="447">
        <v>97373.04</v>
      </c>
    </row>
    <row r="25" spans="1:15" ht="11.25" customHeight="1">
      <c r="A25" s="443" t="s">
        <v>561</v>
      </c>
      <c r="B25" s="444"/>
      <c r="C25" s="445">
        <v>3.1599999999999993</v>
      </c>
      <c r="D25" s="446">
        <v>13516.019999999997</v>
      </c>
      <c r="E25" s="446">
        <v>4656.01</v>
      </c>
      <c r="F25" s="446">
        <v>3.13</v>
      </c>
      <c r="G25" s="446">
        <v>5500.27</v>
      </c>
      <c r="H25" s="446">
        <v>5.25</v>
      </c>
      <c r="I25" s="446">
        <v>1303.92</v>
      </c>
      <c r="J25" s="446">
        <v>8081.41</v>
      </c>
      <c r="K25" s="446">
        <v>1236.4799999999998</v>
      </c>
      <c r="L25" s="446">
        <v>3338.66</v>
      </c>
      <c r="M25" s="446">
        <v>10.000000000000005</v>
      </c>
      <c r="N25" s="446">
        <v>4.609999999999999</v>
      </c>
      <c r="O25" s="447">
        <v>37658.92</v>
      </c>
    </row>
    <row r="26" spans="1:15" ht="11.25" customHeight="1">
      <c r="A26" s="443" t="s">
        <v>575</v>
      </c>
      <c r="B26" s="444"/>
      <c r="C26" s="445">
        <v>1808.67</v>
      </c>
      <c r="D26" s="446">
        <v>1808.6699999999983</v>
      </c>
      <c r="E26" s="446">
        <v>1808.63</v>
      </c>
      <c r="F26" s="446">
        <v>1904.75</v>
      </c>
      <c r="G26" s="446">
        <v>1904.75</v>
      </c>
      <c r="H26" s="446">
        <v>6622.75</v>
      </c>
      <c r="I26" s="446">
        <v>1904.75</v>
      </c>
      <c r="J26" s="446">
        <v>1904.75</v>
      </c>
      <c r="K26" s="446">
        <v>1904.75</v>
      </c>
      <c r="L26" s="446">
        <v>1904.75</v>
      </c>
      <c r="M26" s="446">
        <v>1904.75</v>
      </c>
      <c r="N26" s="446">
        <v>8186.41</v>
      </c>
      <c r="O26" s="447">
        <v>33568.38</v>
      </c>
    </row>
    <row r="27" spans="1:15" ht="11.25" customHeight="1">
      <c r="A27" s="443" t="s">
        <v>576</v>
      </c>
      <c r="B27" s="444"/>
      <c r="C27" s="445">
        <v>518.34</v>
      </c>
      <c r="D27" s="446">
        <v>-518.34</v>
      </c>
      <c r="E27" s="446">
        <v>173.66999999999996</v>
      </c>
      <c r="F27" s="446">
        <v>2357.56</v>
      </c>
      <c r="G27" s="446">
        <v>-1250.02</v>
      </c>
      <c r="H27" s="446">
        <v>911.02</v>
      </c>
      <c r="I27" s="446">
        <v>329.35</v>
      </c>
      <c r="J27" s="446">
        <v>-1365.36</v>
      </c>
      <c r="K27" s="446"/>
      <c r="L27" s="446">
        <v>2035.79</v>
      </c>
      <c r="M27" s="446">
        <v>1980.21</v>
      </c>
      <c r="N27" s="446">
        <v>-3473.18</v>
      </c>
      <c r="O27" s="447">
        <v>1699.0400000000004</v>
      </c>
    </row>
    <row r="28" spans="1:15" ht="11.25" customHeight="1">
      <c r="A28" s="443" t="s">
        <v>577</v>
      </c>
      <c r="B28" s="444"/>
      <c r="C28" s="445">
        <v>-7</v>
      </c>
      <c r="D28" s="446">
        <v>-611</v>
      </c>
      <c r="E28" s="446">
        <v>766.95</v>
      </c>
      <c r="F28" s="446">
        <v>-4.5</v>
      </c>
      <c r="G28" s="446">
        <v>-6</v>
      </c>
      <c r="H28" s="446">
        <v>161.6</v>
      </c>
      <c r="I28" s="446">
        <v>76.5</v>
      </c>
      <c r="J28" s="446">
        <v>-7.46</v>
      </c>
      <c r="K28" s="446">
        <v>-10</v>
      </c>
      <c r="L28" s="446">
        <v>-10</v>
      </c>
      <c r="M28" s="446">
        <v>7763</v>
      </c>
      <c r="N28" s="446">
        <v>-8269</v>
      </c>
      <c r="O28" s="447">
        <v>-156.90999999999985</v>
      </c>
    </row>
    <row r="29" spans="1:15" ht="11.25" customHeight="1">
      <c r="A29" s="443" t="s">
        <v>578</v>
      </c>
      <c r="B29" s="444"/>
      <c r="C29" s="445">
        <v>-651</v>
      </c>
      <c r="D29" s="446">
        <v>791.97</v>
      </c>
      <c r="E29" s="446">
        <v>1153.2</v>
      </c>
      <c r="F29" s="446">
        <v>1498.18</v>
      </c>
      <c r="G29" s="446">
        <v>1598.3</v>
      </c>
      <c r="H29" s="446">
        <v>1451.05</v>
      </c>
      <c r="I29" s="446">
        <v>1575.83</v>
      </c>
      <c r="J29" s="446">
        <v>3108.61</v>
      </c>
      <c r="K29" s="446">
        <v>1461.92</v>
      </c>
      <c r="L29" s="446">
        <v>1463.07</v>
      </c>
      <c r="M29" s="446">
        <v>793.94</v>
      </c>
      <c r="N29" s="446">
        <v>1334.91</v>
      </c>
      <c r="O29" s="447">
        <v>15579.980000000001</v>
      </c>
    </row>
    <row r="30" spans="1:15" ht="11.25" customHeight="1">
      <c r="A30" s="443" t="s">
        <v>1691</v>
      </c>
      <c r="B30" s="444"/>
      <c r="C30" s="445">
        <v>2320.3599999999997</v>
      </c>
      <c r="D30" s="446">
        <v>2306.6300000000006</v>
      </c>
      <c r="E30" s="446">
        <v>3067.7000000000003</v>
      </c>
      <c r="F30" s="446">
        <v>8256.589999999998</v>
      </c>
      <c r="G30" s="446">
        <v>3640.32</v>
      </c>
      <c r="H30" s="446">
        <v>4559.570000000001</v>
      </c>
      <c r="I30" s="446">
        <v>8193.91</v>
      </c>
      <c r="J30" s="446">
        <v>5688.700000000001</v>
      </c>
      <c r="K30" s="446">
        <v>4830.32</v>
      </c>
      <c r="L30" s="446">
        <v>4398.400000000001</v>
      </c>
      <c r="M30" s="446">
        <v>4244.8099999999995</v>
      </c>
      <c r="N30" s="446">
        <v>3922.2399999999993</v>
      </c>
      <c r="O30" s="447">
        <v>55429.549999999996</v>
      </c>
    </row>
    <row r="31" spans="1:15" ht="11.25" customHeight="1">
      <c r="A31" s="443" t="s">
        <v>579</v>
      </c>
      <c r="B31" s="444"/>
      <c r="C31" s="445"/>
      <c r="D31" s="446"/>
      <c r="E31" s="446">
        <v>1520</v>
      </c>
      <c r="F31" s="446">
        <v>1099.5</v>
      </c>
      <c r="G31" s="446"/>
      <c r="H31" s="446">
        <v>1161.5</v>
      </c>
      <c r="I31" s="446">
        <v>0</v>
      </c>
      <c r="J31" s="446"/>
      <c r="K31" s="446">
        <v>1380</v>
      </c>
      <c r="L31" s="446">
        <v>35</v>
      </c>
      <c r="M31" s="446">
        <v>150</v>
      </c>
      <c r="N31" s="446"/>
      <c r="O31" s="447">
        <v>5346</v>
      </c>
    </row>
    <row r="32" spans="1:15" ht="11.25" customHeight="1">
      <c r="A32" s="443" t="s">
        <v>672</v>
      </c>
      <c r="B32" s="444"/>
      <c r="C32" s="445">
        <v>5719.18</v>
      </c>
      <c r="D32" s="446">
        <v>5719.19</v>
      </c>
      <c r="E32" s="446">
        <v>5719.19</v>
      </c>
      <c r="F32" s="446">
        <v>17269.61</v>
      </c>
      <c r="G32" s="446">
        <v>17269.61</v>
      </c>
      <c r="H32" s="446">
        <v>17269.61</v>
      </c>
      <c r="I32" s="446">
        <v>20023.08</v>
      </c>
      <c r="J32" s="446">
        <v>20023.08</v>
      </c>
      <c r="K32" s="446">
        <v>20023.08</v>
      </c>
      <c r="L32" s="446">
        <v>20023.08</v>
      </c>
      <c r="M32" s="446">
        <v>20023.08</v>
      </c>
      <c r="N32" s="446">
        <v>20023.08</v>
      </c>
      <c r="O32" s="447">
        <v>189104.87000000005</v>
      </c>
    </row>
    <row r="33" spans="1:15" ht="11.25" customHeight="1">
      <c r="A33" s="443" t="s">
        <v>581</v>
      </c>
      <c r="B33" s="444"/>
      <c r="C33" s="445"/>
      <c r="D33" s="446"/>
      <c r="E33" s="446">
        <v>-2202</v>
      </c>
      <c r="F33" s="446"/>
      <c r="G33" s="446"/>
      <c r="H33" s="446">
        <v>-1336</v>
      </c>
      <c r="I33" s="446"/>
      <c r="J33" s="446"/>
      <c r="K33" s="446">
        <v>-1935</v>
      </c>
      <c r="L33" s="446">
        <v>0</v>
      </c>
      <c r="M33" s="446"/>
      <c r="N33" s="446">
        <v>-2967</v>
      </c>
      <c r="O33" s="447">
        <v>-8440</v>
      </c>
    </row>
    <row r="34" spans="1:15" ht="11.25" customHeight="1">
      <c r="A34" s="443" t="s">
        <v>1694</v>
      </c>
      <c r="B34" s="444"/>
      <c r="C34" s="445"/>
      <c r="D34" s="446"/>
      <c r="E34" s="446">
        <v>704.56</v>
      </c>
      <c r="F34" s="446">
        <v>84.42</v>
      </c>
      <c r="G34" s="446"/>
      <c r="H34" s="446"/>
      <c r="I34" s="446">
        <v>254.39</v>
      </c>
      <c r="J34" s="446"/>
      <c r="K34" s="446"/>
      <c r="L34" s="446">
        <v>728.83</v>
      </c>
      <c r="M34" s="446">
        <v>6.28</v>
      </c>
      <c r="N34" s="446">
        <v>102.42</v>
      </c>
      <c r="O34" s="447">
        <v>1880.8999999999999</v>
      </c>
    </row>
    <row r="35" spans="1:15" ht="11.25" customHeight="1">
      <c r="A35" s="443" t="s">
        <v>583</v>
      </c>
      <c r="B35" s="444"/>
      <c r="C35" s="445">
        <v>-6596.44</v>
      </c>
      <c r="D35" s="446">
        <v>-2183.5199999999995</v>
      </c>
      <c r="E35" s="446">
        <v>9.094947017729282E-13</v>
      </c>
      <c r="F35" s="446"/>
      <c r="G35" s="446"/>
      <c r="H35" s="446"/>
      <c r="I35" s="446"/>
      <c r="J35" s="446"/>
      <c r="K35" s="446"/>
      <c r="L35" s="446"/>
      <c r="M35" s="446">
        <v>160.13</v>
      </c>
      <c r="N35" s="446">
        <v>-7029.74</v>
      </c>
      <c r="O35" s="447">
        <v>-15649.57</v>
      </c>
    </row>
    <row r="36" spans="1:15" ht="11.25" customHeight="1">
      <c r="A36" s="449" t="s">
        <v>1705</v>
      </c>
      <c r="B36" s="450"/>
      <c r="C36" s="451">
        <v>487209.48999999993</v>
      </c>
      <c r="D36" s="452">
        <v>414303.06999999983</v>
      </c>
      <c r="E36" s="452">
        <v>414607.44000000006</v>
      </c>
      <c r="F36" s="452">
        <v>431592.67000000004</v>
      </c>
      <c r="G36" s="452">
        <v>466771.70999999996</v>
      </c>
      <c r="H36" s="452">
        <v>510305.11</v>
      </c>
      <c r="I36" s="452">
        <v>468543.58999999997</v>
      </c>
      <c r="J36" s="452">
        <v>449147.64</v>
      </c>
      <c r="K36" s="452">
        <v>536114.4999999999</v>
      </c>
      <c r="L36" s="452">
        <v>476729.45999999996</v>
      </c>
      <c r="M36" s="452">
        <v>434298.94000000006</v>
      </c>
      <c r="N36" s="452">
        <v>529702.16</v>
      </c>
      <c r="O36" s="453">
        <v>5619325.780000001</v>
      </c>
    </row>
  </sheetData>
  <printOptions/>
  <pageMargins left="0.39370078740157477" right="0.39370078740157477" top="0.39370078740157477" bottom="0.39370078740157477" header="0.3149606299212599" footer="0.3149606299212599"/>
  <pageSetup fitToHeight="0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90"/>
  <sheetViews>
    <sheetView showGridLines="0" workbookViewId="0" topLeftCell="G1">
      <pane ySplit="3" topLeftCell="A87" activePane="bottomLeft" state="frozen"/>
      <selection pane="bottomLeft" activeCell="AK131" sqref="AK131"/>
    </sheetView>
  </sheetViews>
  <sheetFormatPr defaultColWidth="11.421875" defaultRowHeight="12.75" outlineLevelRow="1"/>
  <cols>
    <col min="1" max="1" width="8.421875" style="394" hidden="1" customWidth="1"/>
    <col min="2" max="3" width="5.140625" style="394" hidden="1" customWidth="1"/>
    <col min="4" max="4" width="4.7109375" style="395" hidden="1" customWidth="1"/>
    <col min="5" max="5" width="1.7109375" style="325" customWidth="1"/>
    <col min="6" max="6" width="25.7109375" style="324" customWidth="1"/>
    <col min="7" max="8" width="7.7109375" style="358" customWidth="1"/>
    <col min="9" max="9" width="7.7109375" style="359" customWidth="1"/>
    <col min="10" max="10" width="7.7109375" style="358" customWidth="1"/>
    <col min="11" max="11" width="7.7109375" style="359" customWidth="1"/>
    <col min="12" max="12" width="7.7109375" style="358" customWidth="1"/>
    <col min="13" max="13" width="7.7109375" style="359" customWidth="1"/>
    <col min="14" max="14" width="7.7109375" style="358" customWidth="1"/>
    <col min="15" max="15" width="7.7109375" style="359" customWidth="1"/>
    <col min="16" max="19" width="7.7109375" style="358" customWidth="1"/>
    <col min="20" max="20" width="7.7109375" style="359" customWidth="1"/>
    <col min="21" max="21" width="7.7109375" style="358" customWidth="1"/>
    <col min="22" max="22" width="7.7109375" style="359" customWidth="1"/>
    <col min="23" max="24" width="7.7109375" style="358" customWidth="1"/>
    <col min="25" max="25" width="5.7109375" style="370" customWidth="1"/>
    <col min="26" max="26" width="4.7109375" style="374" customWidth="1"/>
    <col min="27" max="27" width="1.7109375" style="324" customWidth="1"/>
    <col min="28" max="30" width="1.7109375" style="324" hidden="1" customWidth="1"/>
    <col min="31" max="31" width="1.7109375" style="324" customWidth="1"/>
    <col min="32" max="32" width="25.7109375" style="324" customWidth="1"/>
    <col min="33" max="34" width="7.7109375" style="358" customWidth="1"/>
    <col min="35" max="35" width="7.7109375" style="359" customWidth="1"/>
    <col min="36" max="36" width="7.7109375" style="358" customWidth="1"/>
    <col min="37" max="37" width="7.7109375" style="359" customWidth="1"/>
    <col min="38" max="38" width="7.7109375" style="358" customWidth="1"/>
    <col min="39" max="39" width="7.7109375" style="359" customWidth="1"/>
    <col min="40" max="40" width="7.7109375" style="358" customWidth="1"/>
    <col min="41" max="41" width="7.7109375" style="359" customWidth="1"/>
    <col min="42" max="45" width="7.7109375" style="358" customWidth="1"/>
    <col min="46" max="46" width="7.7109375" style="359" customWidth="1"/>
    <col min="47" max="47" width="7.7109375" style="358" customWidth="1"/>
    <col min="48" max="48" width="7.7109375" style="359" customWidth="1"/>
    <col min="49" max="50" width="7.7109375" style="358" customWidth="1"/>
    <col min="51" max="51" width="5.7109375" style="370" customWidth="1"/>
    <col min="52" max="52" width="4.7109375" style="374" customWidth="1"/>
    <col min="53" max="16384" width="11.421875" style="324" customWidth="1"/>
  </cols>
  <sheetData>
    <row r="1" spans="1:52" s="316" customFormat="1" ht="30" customHeight="1">
      <c r="A1" s="392" t="s">
        <v>25</v>
      </c>
      <c r="B1" s="392"/>
      <c r="C1" s="392"/>
      <c r="D1" s="393"/>
      <c r="E1" s="317"/>
      <c r="F1" s="318" t="s">
        <v>969</v>
      </c>
      <c r="G1" s="319"/>
      <c r="H1" s="319"/>
      <c r="I1" s="320"/>
      <c r="J1" s="321" t="s">
        <v>1702</v>
      </c>
      <c r="K1" s="320"/>
      <c r="L1" s="319"/>
      <c r="M1" s="320"/>
      <c r="N1" s="319"/>
      <c r="O1" s="320"/>
      <c r="P1" s="319"/>
      <c r="Q1" s="319"/>
      <c r="R1" s="319"/>
      <c r="S1" s="319"/>
      <c r="T1" s="320"/>
      <c r="U1" s="319"/>
      <c r="V1" s="320"/>
      <c r="W1" s="319"/>
      <c r="X1" s="319"/>
      <c r="Y1" s="366"/>
      <c r="Z1" s="371"/>
      <c r="AF1" s="322" t="s">
        <v>969</v>
      </c>
      <c r="AG1" s="319"/>
      <c r="AH1" s="319"/>
      <c r="AI1" s="320"/>
      <c r="AJ1" s="323" t="s">
        <v>1703</v>
      </c>
      <c r="AK1" s="320"/>
      <c r="AL1" s="319"/>
      <c r="AM1" s="320"/>
      <c r="AN1" s="319"/>
      <c r="AO1" s="320"/>
      <c r="AP1" s="319"/>
      <c r="AQ1" s="319"/>
      <c r="AR1" s="319"/>
      <c r="AS1" s="319"/>
      <c r="AT1" s="320"/>
      <c r="AU1" s="319"/>
      <c r="AV1" s="320"/>
      <c r="AW1" s="319"/>
      <c r="AX1" s="319"/>
      <c r="AY1" s="366"/>
      <c r="AZ1" s="375"/>
    </row>
    <row r="2" spans="6:52" ht="12.75">
      <c r="F2" s="391" t="s">
        <v>140</v>
      </c>
      <c r="G2" s="326" t="s">
        <v>82</v>
      </c>
      <c r="H2" s="327"/>
      <c r="I2" s="328"/>
      <c r="J2" s="326" t="s">
        <v>132</v>
      </c>
      <c r="K2" s="329"/>
      <c r="L2" s="327"/>
      <c r="M2" s="329"/>
      <c r="N2" s="387"/>
      <c r="O2" s="388"/>
      <c r="P2" s="326" t="s">
        <v>134</v>
      </c>
      <c r="Q2" s="327"/>
      <c r="R2" s="330"/>
      <c r="S2" s="326" t="s">
        <v>613</v>
      </c>
      <c r="T2" s="328"/>
      <c r="U2" s="389"/>
      <c r="V2" s="380"/>
      <c r="W2" s="326" t="s">
        <v>81</v>
      </c>
      <c r="X2" s="327"/>
      <c r="Y2" s="367"/>
      <c r="Z2" s="372"/>
      <c r="AF2" s="390" t="s">
        <v>140</v>
      </c>
      <c r="AG2" s="331" t="s">
        <v>82</v>
      </c>
      <c r="AH2" s="332"/>
      <c r="AI2" s="333"/>
      <c r="AJ2" s="331" t="s">
        <v>132</v>
      </c>
      <c r="AK2" s="334"/>
      <c r="AL2" s="332"/>
      <c r="AM2" s="334"/>
      <c r="AN2" s="382"/>
      <c r="AO2" s="383"/>
      <c r="AP2" s="331" t="s">
        <v>134</v>
      </c>
      <c r="AQ2" s="332"/>
      <c r="AR2" s="335"/>
      <c r="AS2" s="384" t="s">
        <v>613</v>
      </c>
      <c r="AT2" s="385"/>
      <c r="AU2" s="386"/>
      <c r="AV2" s="385"/>
      <c r="AW2" s="331" t="s">
        <v>81</v>
      </c>
      <c r="AX2" s="332"/>
      <c r="AY2" s="378"/>
      <c r="AZ2" s="376"/>
    </row>
    <row r="3" spans="6:52" ht="12.75">
      <c r="F3" s="336" t="s">
        <v>38</v>
      </c>
      <c r="G3" s="337" t="s">
        <v>124</v>
      </c>
      <c r="H3" s="338" t="s">
        <v>972</v>
      </c>
      <c r="I3" s="339" t="s">
        <v>125</v>
      </c>
      <c r="J3" s="337" t="s">
        <v>124</v>
      </c>
      <c r="K3" s="340" t="s">
        <v>133</v>
      </c>
      <c r="L3" s="337" t="s">
        <v>972</v>
      </c>
      <c r="M3" s="339" t="s">
        <v>133</v>
      </c>
      <c r="N3" s="337" t="s">
        <v>614</v>
      </c>
      <c r="O3" s="339" t="s">
        <v>133</v>
      </c>
      <c r="P3" s="337" t="s">
        <v>85</v>
      </c>
      <c r="Q3" s="338" t="s">
        <v>135</v>
      </c>
      <c r="R3" s="341" t="s">
        <v>136</v>
      </c>
      <c r="S3" s="337" t="s">
        <v>120</v>
      </c>
      <c r="T3" s="339" t="s">
        <v>137</v>
      </c>
      <c r="U3" s="338" t="s">
        <v>615</v>
      </c>
      <c r="V3" s="339" t="s">
        <v>137</v>
      </c>
      <c r="W3" s="337" t="s">
        <v>138</v>
      </c>
      <c r="X3" s="338" t="s">
        <v>90</v>
      </c>
      <c r="Y3" s="368" t="s">
        <v>139</v>
      </c>
      <c r="Z3" s="373" t="s">
        <v>177</v>
      </c>
      <c r="AF3" s="343" t="s">
        <v>38</v>
      </c>
      <c r="AG3" s="344" t="s">
        <v>124</v>
      </c>
      <c r="AH3" s="345" t="s">
        <v>972</v>
      </c>
      <c r="AI3" s="346" t="s">
        <v>125</v>
      </c>
      <c r="AJ3" s="344" t="s">
        <v>124</v>
      </c>
      <c r="AK3" s="347" t="s">
        <v>133</v>
      </c>
      <c r="AL3" s="344" t="s">
        <v>972</v>
      </c>
      <c r="AM3" s="346" t="s">
        <v>133</v>
      </c>
      <c r="AN3" s="344" t="s">
        <v>614</v>
      </c>
      <c r="AO3" s="346" t="s">
        <v>133</v>
      </c>
      <c r="AP3" s="344" t="s">
        <v>85</v>
      </c>
      <c r="AQ3" s="345" t="s">
        <v>135</v>
      </c>
      <c r="AR3" s="348" t="s">
        <v>136</v>
      </c>
      <c r="AS3" s="344" t="s">
        <v>124</v>
      </c>
      <c r="AT3" s="346" t="s">
        <v>137</v>
      </c>
      <c r="AU3" s="345" t="s">
        <v>615</v>
      </c>
      <c r="AV3" s="346" t="s">
        <v>137</v>
      </c>
      <c r="AW3" s="344" t="s">
        <v>138</v>
      </c>
      <c r="AX3" s="345" t="s">
        <v>90</v>
      </c>
      <c r="AY3" s="379" t="s">
        <v>139</v>
      </c>
      <c r="AZ3" s="377" t="s">
        <v>177</v>
      </c>
    </row>
    <row r="4" spans="1:52" ht="12.75" hidden="1" outlineLevel="1">
      <c r="A4" s="394">
        <v>1360</v>
      </c>
      <c r="B4" s="394" t="s">
        <v>616</v>
      </c>
      <c r="C4" s="394" t="s">
        <v>910</v>
      </c>
      <c r="D4" s="395">
        <v>1</v>
      </c>
      <c r="F4" s="349" t="s">
        <v>523</v>
      </c>
      <c r="G4" s="350">
        <v>13446.03</v>
      </c>
      <c r="H4" s="351">
        <v>23093.38</v>
      </c>
      <c r="I4" s="352">
        <v>-41.77539190885007</v>
      </c>
      <c r="J4" s="350">
        <v>546.0300000000007</v>
      </c>
      <c r="K4" s="353">
        <v>4.060901247431403</v>
      </c>
      <c r="L4" s="350">
        <v>-2987.7700000000004</v>
      </c>
      <c r="M4" s="352">
        <v>-12.937776973314433</v>
      </c>
      <c r="N4" s="350">
        <v>546.0300000000007</v>
      </c>
      <c r="O4" s="352">
        <v>4.060901247431403</v>
      </c>
      <c r="P4" s="350">
        <v>3533.800000000001</v>
      </c>
      <c r="Q4" s="351">
        <v>1248.15262683505</v>
      </c>
      <c r="R4" s="354">
        <v>2285.647373164951</v>
      </c>
      <c r="S4" s="350">
        <v>0</v>
      </c>
      <c r="T4" s="352">
        <v>0</v>
      </c>
      <c r="U4" s="351">
        <v>0</v>
      </c>
      <c r="V4" s="352">
        <v>0</v>
      </c>
      <c r="W4" s="350">
        <v>94300</v>
      </c>
      <c r="X4" s="351">
        <v>-12900</v>
      </c>
      <c r="Y4" s="369">
        <v>217.40989719642155</v>
      </c>
      <c r="Z4" s="398">
        <v>44926</v>
      </c>
      <c r="AF4" s="381" t="s">
        <v>523</v>
      </c>
      <c r="AG4" s="355">
        <v>409148.79</v>
      </c>
      <c r="AH4" s="351">
        <v>385328.44</v>
      </c>
      <c r="AI4" s="356">
        <v>6.181830232930634</v>
      </c>
      <c r="AJ4" s="355">
        <v>34067.21999999997</v>
      </c>
      <c r="AK4" s="353">
        <v>8.326364597094367</v>
      </c>
      <c r="AL4" s="355">
        <v>24487</v>
      </c>
      <c r="AM4" s="356">
        <v>6.354838485319173</v>
      </c>
      <c r="AN4" s="355">
        <v>34067.21999999997</v>
      </c>
      <c r="AO4" s="356">
        <v>8.326364597094367</v>
      </c>
      <c r="AP4" s="355">
        <v>9580.219999999972</v>
      </c>
      <c r="AQ4" s="351">
        <v>1513.7447691377245</v>
      </c>
      <c r="AR4" s="357">
        <v>8066.475230862244</v>
      </c>
      <c r="AS4" s="355">
        <v>0</v>
      </c>
      <c r="AT4" s="356">
        <v>0</v>
      </c>
      <c r="AU4" s="351">
        <v>0</v>
      </c>
      <c r="AV4" s="356">
        <v>0</v>
      </c>
      <c r="AW4" s="355">
        <v>94300</v>
      </c>
      <c r="AX4" s="351">
        <v>-48800</v>
      </c>
      <c r="AY4" s="369">
        <v>84.12465303881261</v>
      </c>
      <c r="AZ4" s="399">
        <v>44926</v>
      </c>
    </row>
    <row r="5" spans="1:52" ht="12.75" hidden="1" outlineLevel="1">
      <c r="A5" s="394">
        <v>1370</v>
      </c>
      <c r="B5" s="394" t="s">
        <v>616</v>
      </c>
      <c r="C5" s="394" t="s">
        <v>910</v>
      </c>
      <c r="D5" s="395">
        <v>1</v>
      </c>
      <c r="F5" s="349" t="s">
        <v>524</v>
      </c>
      <c r="G5" s="350">
        <v>601172.54</v>
      </c>
      <c r="H5" s="351">
        <v>578435.14</v>
      </c>
      <c r="I5" s="352">
        <v>3.9308469399006474</v>
      </c>
      <c r="J5" s="350">
        <v>24883.850000000093</v>
      </c>
      <c r="K5" s="353">
        <v>4.139219332938942</v>
      </c>
      <c r="L5" s="350">
        <v>9132.719999999972</v>
      </c>
      <c r="M5" s="352">
        <v>1.5788667334422268</v>
      </c>
      <c r="N5" s="350">
        <v>24883.850000000093</v>
      </c>
      <c r="O5" s="352">
        <v>4.139219332938942</v>
      </c>
      <c r="P5" s="350">
        <v>15751.130000000121</v>
      </c>
      <c r="Q5" s="351">
        <v>358.9932446496933</v>
      </c>
      <c r="R5" s="354">
        <v>15392.136755350424</v>
      </c>
      <c r="S5" s="350">
        <v>0</v>
      </c>
      <c r="T5" s="352">
        <v>0</v>
      </c>
      <c r="U5" s="351">
        <v>0</v>
      </c>
      <c r="V5" s="352">
        <v>0</v>
      </c>
      <c r="W5" s="350">
        <v>243000</v>
      </c>
      <c r="X5" s="351">
        <v>-22900</v>
      </c>
      <c r="Y5" s="369">
        <v>12.53051245487693</v>
      </c>
      <c r="Z5" s="398">
        <v>44926</v>
      </c>
      <c r="AF5" s="381" t="s">
        <v>524</v>
      </c>
      <c r="AG5" s="355">
        <v>9350852.389999999</v>
      </c>
      <c r="AH5" s="351">
        <v>8990333.9</v>
      </c>
      <c r="AI5" s="356">
        <v>4.0100678574351765</v>
      </c>
      <c r="AJ5" s="355">
        <v>349928.8699999992</v>
      </c>
      <c r="AK5" s="353">
        <v>3.7422136015559455</v>
      </c>
      <c r="AL5" s="355">
        <v>504532.3499999996</v>
      </c>
      <c r="AM5" s="356">
        <v>5.611942288372622</v>
      </c>
      <c r="AN5" s="355">
        <v>349928.8699999992</v>
      </c>
      <c r="AO5" s="356">
        <v>3.7422136015559455</v>
      </c>
      <c r="AP5" s="355">
        <v>-154603.48000000045</v>
      </c>
      <c r="AQ5" s="351">
        <v>20232.08959771233</v>
      </c>
      <c r="AR5" s="357">
        <v>-174835.56959771275</v>
      </c>
      <c r="AS5" s="355">
        <v>0</v>
      </c>
      <c r="AT5" s="356">
        <v>0</v>
      </c>
      <c r="AU5" s="351">
        <v>0</v>
      </c>
      <c r="AV5" s="356">
        <v>0</v>
      </c>
      <c r="AW5" s="355">
        <v>243000</v>
      </c>
      <c r="AX5" s="351">
        <v>48600</v>
      </c>
      <c r="AY5" s="369">
        <v>9.485231538341074</v>
      </c>
      <c r="AZ5" s="399">
        <v>44926</v>
      </c>
    </row>
    <row r="6" spans="1:52" ht="12.75" hidden="1" outlineLevel="1">
      <c r="A6" s="394">
        <v>1490</v>
      </c>
      <c r="B6" s="394" t="s">
        <v>616</v>
      </c>
      <c r="C6" s="394" t="s">
        <v>910</v>
      </c>
      <c r="D6" s="395">
        <v>1</v>
      </c>
      <c r="F6" s="349" t="s">
        <v>525</v>
      </c>
      <c r="G6" s="350">
        <v>882184.75</v>
      </c>
      <c r="H6" s="351">
        <v>712891.57</v>
      </c>
      <c r="I6" s="352">
        <v>23.74739541386358</v>
      </c>
      <c r="J6" s="350">
        <v>45897.69999999995</v>
      </c>
      <c r="K6" s="353">
        <v>5.20273106058566</v>
      </c>
      <c r="L6" s="350">
        <v>22597.769999999902</v>
      </c>
      <c r="M6" s="352">
        <v>3.1698747679117463</v>
      </c>
      <c r="N6" s="350">
        <v>45897.69999999995</v>
      </c>
      <c r="O6" s="352">
        <v>5.20273106058566</v>
      </c>
      <c r="P6" s="350">
        <v>23299.93000000005</v>
      </c>
      <c r="Q6" s="351">
        <v>5366.3817966154165</v>
      </c>
      <c r="R6" s="354">
        <v>17933.548203384635</v>
      </c>
      <c r="S6" s="350">
        <v>0</v>
      </c>
      <c r="T6" s="352">
        <v>0</v>
      </c>
      <c r="U6" s="351">
        <v>0</v>
      </c>
      <c r="V6" s="352">
        <v>0</v>
      </c>
      <c r="W6" s="350">
        <v>142400</v>
      </c>
      <c r="X6" s="351">
        <v>-86900</v>
      </c>
      <c r="Y6" s="369">
        <v>5.003940501125189</v>
      </c>
      <c r="Z6" s="398">
        <v>44926</v>
      </c>
      <c r="AF6" s="381" t="s">
        <v>525</v>
      </c>
      <c r="AG6" s="355">
        <v>10693462.31</v>
      </c>
      <c r="AH6" s="351">
        <v>8944592.58</v>
      </c>
      <c r="AI6" s="356">
        <v>19.55225701291808</v>
      </c>
      <c r="AJ6" s="355">
        <v>525690.6500000004</v>
      </c>
      <c r="AK6" s="353">
        <v>4.916000400622353</v>
      </c>
      <c r="AL6" s="355">
        <v>574428.5999999996</v>
      </c>
      <c r="AM6" s="356">
        <v>6.422076744830334</v>
      </c>
      <c r="AN6" s="355">
        <v>525690.6500000004</v>
      </c>
      <c r="AO6" s="356">
        <v>4.916000400622353</v>
      </c>
      <c r="AP6" s="355">
        <v>-48737.949999999255</v>
      </c>
      <c r="AQ6" s="351">
        <v>112313.75622770707</v>
      </c>
      <c r="AR6" s="357">
        <v>-161051.7062277063</v>
      </c>
      <c r="AS6" s="355">
        <v>0</v>
      </c>
      <c r="AT6" s="356">
        <v>0</v>
      </c>
      <c r="AU6" s="351">
        <v>0</v>
      </c>
      <c r="AV6" s="356">
        <v>0</v>
      </c>
      <c r="AW6" s="355">
        <v>142400</v>
      </c>
      <c r="AX6" s="351">
        <v>-78100</v>
      </c>
      <c r="AY6" s="369">
        <v>4.860539878781319</v>
      </c>
      <c r="AZ6" s="399">
        <v>44926</v>
      </c>
    </row>
    <row r="7" spans="1:52" ht="12.75" hidden="1" outlineLevel="1">
      <c r="A7" s="394">
        <v>1491</v>
      </c>
      <c r="B7" s="394" t="s">
        <v>616</v>
      </c>
      <c r="C7" s="394" t="s">
        <v>910</v>
      </c>
      <c r="D7" s="395">
        <v>1</v>
      </c>
      <c r="F7" s="349" t="s">
        <v>526</v>
      </c>
      <c r="G7" s="350">
        <v>43705.91</v>
      </c>
      <c r="H7" s="351">
        <v>29815.45</v>
      </c>
      <c r="I7" s="352">
        <v>46.58812796721164</v>
      </c>
      <c r="J7" s="350">
        <v>-14398.07</v>
      </c>
      <c r="K7" s="353">
        <v>-32.94307337382976</v>
      </c>
      <c r="L7" s="350">
        <v>-2533.3600000000006</v>
      </c>
      <c r="M7" s="352">
        <v>-8.496802832088735</v>
      </c>
      <c r="N7" s="350">
        <v>-14398.07</v>
      </c>
      <c r="O7" s="352">
        <v>-32.94307337382976</v>
      </c>
      <c r="P7" s="350">
        <v>-11864.71</v>
      </c>
      <c r="Q7" s="351">
        <v>-1180.244998670153</v>
      </c>
      <c r="R7" s="354">
        <v>-10684.465001329847</v>
      </c>
      <c r="S7" s="350">
        <v>0</v>
      </c>
      <c r="T7" s="352">
        <v>0</v>
      </c>
      <c r="U7" s="351">
        <v>0</v>
      </c>
      <c r="V7" s="352">
        <v>0</v>
      </c>
      <c r="W7" s="350">
        <v>106100</v>
      </c>
      <c r="X7" s="351">
        <v>8400</v>
      </c>
      <c r="Y7" s="369">
        <v>75.2552686810548</v>
      </c>
      <c r="Z7" s="398">
        <v>44926</v>
      </c>
      <c r="AF7" s="381" t="s">
        <v>526</v>
      </c>
      <c r="AG7" s="355">
        <v>480973.19</v>
      </c>
      <c r="AH7" s="351">
        <v>436483.15</v>
      </c>
      <c r="AI7" s="356">
        <v>10.192842495752695</v>
      </c>
      <c r="AJ7" s="355">
        <v>26408.669999999984</v>
      </c>
      <c r="AK7" s="353">
        <v>5.490674022807795</v>
      </c>
      <c r="AL7" s="355">
        <v>39222.110000000044</v>
      </c>
      <c r="AM7" s="356">
        <v>8.985939090661356</v>
      </c>
      <c r="AN7" s="355">
        <v>26408.669999999984</v>
      </c>
      <c r="AO7" s="356">
        <v>5.490674022807795</v>
      </c>
      <c r="AP7" s="355">
        <v>-12813.44000000006</v>
      </c>
      <c r="AQ7" s="351">
        <v>3997.8478958108717</v>
      </c>
      <c r="AR7" s="357">
        <v>-16811.287895810932</v>
      </c>
      <c r="AS7" s="355">
        <v>0</v>
      </c>
      <c r="AT7" s="356">
        <v>0</v>
      </c>
      <c r="AU7" s="351">
        <v>0</v>
      </c>
      <c r="AV7" s="356">
        <v>0</v>
      </c>
      <c r="AW7" s="355">
        <v>106100</v>
      </c>
      <c r="AX7" s="351">
        <v>26800</v>
      </c>
      <c r="AY7" s="369">
        <v>80.51696187057745</v>
      </c>
      <c r="AZ7" s="399">
        <v>44926</v>
      </c>
    </row>
    <row r="8" spans="1:52" ht="12.75" hidden="1" outlineLevel="1">
      <c r="A8" s="394">
        <v>1500</v>
      </c>
      <c r="B8" s="394" t="s">
        <v>616</v>
      </c>
      <c r="C8" s="394" t="s">
        <v>910</v>
      </c>
      <c r="D8" s="395">
        <v>1</v>
      </c>
      <c r="F8" s="349" t="s">
        <v>527</v>
      </c>
      <c r="G8" s="350">
        <v>146478.24</v>
      </c>
      <c r="H8" s="351">
        <v>113102.7</v>
      </c>
      <c r="I8" s="352">
        <v>29.509056812967327</v>
      </c>
      <c r="J8" s="350">
        <v>-321.11999999999534</v>
      </c>
      <c r="K8" s="353">
        <v>-0.21922710158177444</v>
      </c>
      <c r="L8" s="350">
        <v>2294.0999999999935</v>
      </c>
      <c r="M8" s="352">
        <v>2.0283335411090926</v>
      </c>
      <c r="N8" s="350">
        <v>-321.11999999999534</v>
      </c>
      <c r="O8" s="352">
        <v>-0.21922710158177444</v>
      </c>
      <c r="P8" s="350">
        <v>-2615.219999999989</v>
      </c>
      <c r="Q8" s="351">
        <v>676.9672723462814</v>
      </c>
      <c r="R8" s="354">
        <v>-3292.1872723462707</v>
      </c>
      <c r="S8" s="350">
        <v>0</v>
      </c>
      <c r="T8" s="352">
        <v>0</v>
      </c>
      <c r="U8" s="351">
        <v>0</v>
      </c>
      <c r="V8" s="352">
        <v>0</v>
      </c>
      <c r="W8" s="350">
        <v>48000</v>
      </c>
      <c r="X8" s="351">
        <v>-21700</v>
      </c>
      <c r="Y8" s="369">
        <v>10.158505454462041</v>
      </c>
      <c r="Z8" s="398">
        <v>44926</v>
      </c>
      <c r="AF8" s="381" t="s">
        <v>527</v>
      </c>
      <c r="AG8" s="355">
        <v>4113448.01</v>
      </c>
      <c r="AH8" s="351">
        <v>3455362.98</v>
      </c>
      <c r="AI8" s="356">
        <v>19.045322700077076</v>
      </c>
      <c r="AJ8" s="355">
        <v>218363.94999999972</v>
      </c>
      <c r="AK8" s="353">
        <v>5.308537982469838</v>
      </c>
      <c r="AL8" s="355">
        <v>188659.31999999977</v>
      </c>
      <c r="AM8" s="356">
        <v>5.459898745572593</v>
      </c>
      <c r="AN8" s="355">
        <v>218363.94999999972</v>
      </c>
      <c r="AO8" s="356">
        <v>5.308537982469838</v>
      </c>
      <c r="AP8" s="355">
        <v>29704.629999999946</v>
      </c>
      <c r="AQ8" s="351">
        <v>35930.77629777101</v>
      </c>
      <c r="AR8" s="357">
        <v>-6226.14629777106</v>
      </c>
      <c r="AS8" s="355">
        <v>0</v>
      </c>
      <c r="AT8" s="356">
        <v>0</v>
      </c>
      <c r="AU8" s="351">
        <v>0</v>
      </c>
      <c r="AV8" s="356">
        <v>0</v>
      </c>
      <c r="AW8" s="355">
        <v>48000</v>
      </c>
      <c r="AX8" s="351">
        <v>-91700</v>
      </c>
      <c r="AY8" s="369">
        <v>4.259200543536224</v>
      </c>
      <c r="AZ8" s="399">
        <v>44926</v>
      </c>
    </row>
    <row r="9" spans="1:52" ht="12.75" collapsed="1">
      <c r="A9" s="394">
        <v>10</v>
      </c>
      <c r="B9" s="394" t="s">
        <v>617</v>
      </c>
      <c r="C9" s="394" t="s">
        <v>910</v>
      </c>
      <c r="D9" s="395">
        <v>3</v>
      </c>
      <c r="F9" s="349" t="s">
        <v>509</v>
      </c>
      <c r="G9" s="350">
        <v>1686987.47</v>
      </c>
      <c r="H9" s="351">
        <v>1457338.2399999998</v>
      </c>
      <c r="I9" s="352">
        <v>15.75812832578937</v>
      </c>
      <c r="J9" s="350">
        <v>56608.389999999985</v>
      </c>
      <c r="K9" s="353">
        <v>3.3555904241541272</v>
      </c>
      <c r="L9" s="350">
        <v>28503.459999999763</v>
      </c>
      <c r="M9" s="352">
        <v>1.9558575502691653</v>
      </c>
      <c r="N9" s="350">
        <v>56608.3899999999</v>
      </c>
      <c r="O9" s="352">
        <v>3.3555904241541223</v>
      </c>
      <c r="P9" s="350">
        <v>28104.930000000222</v>
      </c>
      <c r="Q9" s="351">
        <v>4491.611804090005</v>
      </c>
      <c r="R9" s="354">
        <v>23613.318195910222</v>
      </c>
      <c r="S9" s="350">
        <v>0</v>
      </c>
      <c r="T9" s="352">
        <v>0</v>
      </c>
      <c r="U9" s="351">
        <v>-8.731149137020111E-11</v>
      </c>
      <c r="V9" s="352">
        <v>-5.175586240139715E-15</v>
      </c>
      <c r="W9" s="350">
        <v>633800</v>
      </c>
      <c r="X9" s="351">
        <v>-136000</v>
      </c>
      <c r="Y9" s="369">
        <v>11.646678087063682</v>
      </c>
      <c r="Z9" s="398">
        <v>0</v>
      </c>
      <c r="AF9" s="381" t="s">
        <v>509</v>
      </c>
      <c r="AG9" s="355">
        <v>25047884.69</v>
      </c>
      <c r="AH9" s="351">
        <v>22212101.05</v>
      </c>
      <c r="AI9" s="356">
        <v>12.766841072875456</v>
      </c>
      <c r="AJ9" s="355">
        <v>1154459.3600000017</v>
      </c>
      <c r="AK9" s="353">
        <v>4.609009400545918</v>
      </c>
      <c r="AL9" s="355">
        <v>1331329.379999998</v>
      </c>
      <c r="AM9" s="356">
        <v>5.993712062641629</v>
      </c>
      <c r="AN9" s="355">
        <v>1154459.3600000031</v>
      </c>
      <c r="AO9" s="356">
        <v>4.609009400545923</v>
      </c>
      <c r="AP9" s="355">
        <v>-176870.0199999963</v>
      </c>
      <c r="AQ9" s="351">
        <v>169968.7061010979</v>
      </c>
      <c r="AR9" s="357">
        <v>-346838.7261010942</v>
      </c>
      <c r="AS9" s="355">
        <v>0</v>
      </c>
      <c r="AT9" s="356">
        <v>0</v>
      </c>
      <c r="AU9" s="351">
        <v>1.3969838619232178E-09</v>
      </c>
      <c r="AV9" s="356">
        <v>5.577252846748145E-15</v>
      </c>
      <c r="AW9" s="355">
        <v>633800</v>
      </c>
      <c r="AX9" s="351">
        <v>-143200</v>
      </c>
      <c r="AY9" s="369">
        <v>9.235789882582694</v>
      </c>
      <c r="AZ9" s="399">
        <v>0</v>
      </c>
    </row>
    <row r="10" spans="1:52" ht="12.75" hidden="1" outlineLevel="1">
      <c r="A10" s="394">
        <v>1201</v>
      </c>
      <c r="B10" s="394" t="s">
        <v>616</v>
      </c>
      <c r="C10" s="394" t="s">
        <v>910</v>
      </c>
      <c r="D10" s="395">
        <v>1</v>
      </c>
      <c r="F10" s="349" t="s">
        <v>1602</v>
      </c>
      <c r="G10" s="350">
        <v>0</v>
      </c>
      <c r="H10" s="351">
        <v>0</v>
      </c>
      <c r="I10" s="352">
        <v>0</v>
      </c>
      <c r="J10" s="350">
        <v>0</v>
      </c>
      <c r="K10" s="353">
        <v>0</v>
      </c>
      <c r="L10" s="350">
        <v>-111465.81</v>
      </c>
      <c r="M10" s="352">
        <v>0</v>
      </c>
      <c r="N10" s="350">
        <v>0</v>
      </c>
      <c r="O10" s="352">
        <v>0</v>
      </c>
      <c r="P10" s="350">
        <v>111465.81</v>
      </c>
      <c r="Q10" s="351">
        <v>0</v>
      </c>
      <c r="R10" s="354">
        <v>0</v>
      </c>
      <c r="S10" s="350">
        <v>0</v>
      </c>
      <c r="T10" s="352">
        <v>0</v>
      </c>
      <c r="U10" s="351">
        <v>0</v>
      </c>
      <c r="V10" s="352">
        <v>0</v>
      </c>
      <c r="W10" s="350">
        <v>0</v>
      </c>
      <c r="X10" s="351">
        <v>0</v>
      </c>
      <c r="Y10" s="369">
        <v>0</v>
      </c>
      <c r="Z10" s="398">
        <v>44561</v>
      </c>
      <c r="AF10" s="381" t="s">
        <v>1602</v>
      </c>
      <c r="AG10" s="355">
        <v>0</v>
      </c>
      <c r="AH10" s="351">
        <v>2071447.0899999999</v>
      </c>
      <c r="AI10" s="356">
        <v>-100</v>
      </c>
      <c r="AJ10" s="355">
        <v>0</v>
      </c>
      <c r="AK10" s="353">
        <v>0</v>
      </c>
      <c r="AL10" s="355">
        <v>982676.8099999999</v>
      </c>
      <c r="AM10" s="356">
        <v>47.439146031965514</v>
      </c>
      <c r="AN10" s="355">
        <v>0</v>
      </c>
      <c r="AO10" s="356">
        <v>0</v>
      </c>
      <c r="AP10" s="355">
        <v>-982676.8099999999</v>
      </c>
      <c r="AQ10" s="351">
        <v>-982676.8099999999</v>
      </c>
      <c r="AR10" s="357">
        <v>0</v>
      </c>
      <c r="AS10" s="355">
        <v>0</v>
      </c>
      <c r="AT10" s="356">
        <v>0</v>
      </c>
      <c r="AU10" s="351">
        <v>0</v>
      </c>
      <c r="AV10" s="356">
        <v>0</v>
      </c>
      <c r="AW10" s="355">
        <v>0</v>
      </c>
      <c r="AX10" s="351">
        <v>0</v>
      </c>
      <c r="AY10" s="369">
        <v>0</v>
      </c>
      <c r="AZ10" s="399">
        <v>44561</v>
      </c>
    </row>
    <row r="11" spans="1:52" ht="12.75" hidden="1" outlineLevel="1">
      <c r="A11" s="394">
        <v>2102</v>
      </c>
      <c r="B11" s="394" t="s">
        <v>616</v>
      </c>
      <c r="C11" s="394" t="s">
        <v>910</v>
      </c>
      <c r="D11" s="395">
        <v>1</v>
      </c>
      <c r="F11" s="349" t="s">
        <v>1603</v>
      </c>
      <c r="G11" s="350">
        <v>0</v>
      </c>
      <c r="H11" s="351">
        <v>0</v>
      </c>
      <c r="I11" s="352">
        <v>0</v>
      </c>
      <c r="J11" s="350">
        <v>0</v>
      </c>
      <c r="K11" s="353">
        <v>0</v>
      </c>
      <c r="L11" s="350">
        <v>-252.96</v>
      </c>
      <c r="M11" s="352">
        <v>0</v>
      </c>
      <c r="N11" s="350">
        <v>0</v>
      </c>
      <c r="O11" s="352">
        <v>0</v>
      </c>
      <c r="P11" s="350">
        <v>252.96</v>
      </c>
      <c r="Q11" s="351">
        <v>0</v>
      </c>
      <c r="R11" s="354">
        <v>0</v>
      </c>
      <c r="S11" s="350">
        <v>0</v>
      </c>
      <c r="T11" s="352">
        <v>0</v>
      </c>
      <c r="U11" s="351">
        <v>0</v>
      </c>
      <c r="V11" s="352">
        <v>0</v>
      </c>
      <c r="W11" s="350">
        <v>0</v>
      </c>
      <c r="X11" s="351">
        <v>0</v>
      </c>
      <c r="Y11" s="369">
        <v>0</v>
      </c>
      <c r="Z11" s="398">
        <v>44561</v>
      </c>
      <c r="AF11" s="381" t="s">
        <v>1603</v>
      </c>
      <c r="AG11" s="355">
        <v>0</v>
      </c>
      <c r="AH11" s="351">
        <v>0</v>
      </c>
      <c r="AI11" s="356">
        <v>0</v>
      </c>
      <c r="AJ11" s="355">
        <v>0</v>
      </c>
      <c r="AK11" s="353">
        <v>0</v>
      </c>
      <c r="AL11" s="355">
        <v>-1298.28</v>
      </c>
      <c r="AM11" s="356">
        <v>0</v>
      </c>
      <c r="AN11" s="355">
        <v>0</v>
      </c>
      <c r="AO11" s="356">
        <v>0</v>
      </c>
      <c r="AP11" s="355">
        <v>1298.28</v>
      </c>
      <c r="AQ11" s="351">
        <v>0</v>
      </c>
      <c r="AR11" s="357">
        <v>0</v>
      </c>
      <c r="AS11" s="355">
        <v>0</v>
      </c>
      <c r="AT11" s="356">
        <v>0</v>
      </c>
      <c r="AU11" s="351">
        <v>0</v>
      </c>
      <c r="AV11" s="356">
        <v>0</v>
      </c>
      <c r="AW11" s="355">
        <v>0</v>
      </c>
      <c r="AX11" s="351">
        <v>0</v>
      </c>
      <c r="AY11" s="369">
        <v>0</v>
      </c>
      <c r="AZ11" s="399">
        <v>44561</v>
      </c>
    </row>
    <row r="12" spans="1:52" ht="12.75" hidden="1" outlineLevel="1">
      <c r="A12" s="394">
        <v>2103</v>
      </c>
      <c r="B12" s="394" t="s">
        <v>616</v>
      </c>
      <c r="C12" s="394" t="s">
        <v>910</v>
      </c>
      <c r="D12" s="395">
        <v>1</v>
      </c>
      <c r="F12" s="349" t="s">
        <v>1604</v>
      </c>
      <c r="G12" s="350">
        <v>0</v>
      </c>
      <c r="H12" s="351">
        <v>0</v>
      </c>
      <c r="I12" s="352">
        <v>0</v>
      </c>
      <c r="J12" s="350">
        <v>0</v>
      </c>
      <c r="K12" s="353">
        <v>0</v>
      </c>
      <c r="L12" s="350">
        <v>-8722.33</v>
      </c>
      <c r="M12" s="352">
        <v>0</v>
      </c>
      <c r="N12" s="350">
        <v>0</v>
      </c>
      <c r="O12" s="352">
        <v>0</v>
      </c>
      <c r="P12" s="350">
        <v>8722.33</v>
      </c>
      <c r="Q12" s="351">
        <v>0</v>
      </c>
      <c r="R12" s="354">
        <v>0</v>
      </c>
      <c r="S12" s="350">
        <v>0</v>
      </c>
      <c r="T12" s="352">
        <v>0</v>
      </c>
      <c r="U12" s="351">
        <v>0</v>
      </c>
      <c r="V12" s="352">
        <v>0</v>
      </c>
      <c r="W12" s="350">
        <v>0</v>
      </c>
      <c r="X12" s="351">
        <v>0</v>
      </c>
      <c r="Y12" s="369">
        <v>0</v>
      </c>
      <c r="Z12" s="398">
        <v>44561</v>
      </c>
      <c r="AF12" s="381" t="s">
        <v>1604</v>
      </c>
      <c r="AG12" s="355">
        <v>0</v>
      </c>
      <c r="AH12" s="351">
        <v>121.74</v>
      </c>
      <c r="AI12" s="356">
        <v>-100</v>
      </c>
      <c r="AJ12" s="355">
        <v>0</v>
      </c>
      <c r="AK12" s="353">
        <v>0</v>
      </c>
      <c r="AL12" s="355">
        <v>-28777.719999999998</v>
      </c>
      <c r="AM12" s="356">
        <v>-23638.672580910134</v>
      </c>
      <c r="AN12" s="355">
        <v>0</v>
      </c>
      <c r="AO12" s="356">
        <v>0</v>
      </c>
      <c r="AP12" s="355">
        <v>28777.719999999998</v>
      </c>
      <c r="AQ12" s="351">
        <v>28777.719999999998</v>
      </c>
      <c r="AR12" s="357">
        <v>0</v>
      </c>
      <c r="AS12" s="355">
        <v>0</v>
      </c>
      <c r="AT12" s="356">
        <v>0</v>
      </c>
      <c r="AU12" s="351">
        <v>0</v>
      </c>
      <c r="AV12" s="356">
        <v>0</v>
      </c>
      <c r="AW12" s="355">
        <v>0</v>
      </c>
      <c r="AX12" s="351">
        <v>0</v>
      </c>
      <c r="AY12" s="369">
        <v>0</v>
      </c>
      <c r="AZ12" s="399">
        <v>44561</v>
      </c>
    </row>
    <row r="13" spans="1:52" ht="12.75" hidden="1" outlineLevel="1">
      <c r="A13" s="394">
        <v>2105</v>
      </c>
      <c r="B13" s="394" t="s">
        <v>616</v>
      </c>
      <c r="C13" s="394" t="s">
        <v>910</v>
      </c>
      <c r="D13" s="395">
        <v>1</v>
      </c>
      <c r="F13" s="349" t="s">
        <v>1605</v>
      </c>
      <c r="G13" s="350">
        <v>0</v>
      </c>
      <c r="H13" s="351">
        <v>0</v>
      </c>
      <c r="I13" s="352">
        <v>0</v>
      </c>
      <c r="J13" s="350">
        <v>0</v>
      </c>
      <c r="K13" s="353">
        <v>0</v>
      </c>
      <c r="L13" s="350">
        <v>0</v>
      </c>
      <c r="M13" s="352">
        <v>0</v>
      </c>
      <c r="N13" s="350">
        <v>0</v>
      </c>
      <c r="O13" s="352">
        <v>0</v>
      </c>
      <c r="P13" s="350">
        <v>0</v>
      </c>
      <c r="Q13" s="351">
        <v>0</v>
      </c>
      <c r="R13" s="354">
        <v>0</v>
      </c>
      <c r="S13" s="350">
        <v>0</v>
      </c>
      <c r="T13" s="352">
        <v>0</v>
      </c>
      <c r="U13" s="351">
        <v>0</v>
      </c>
      <c r="V13" s="352">
        <v>0</v>
      </c>
      <c r="W13" s="350">
        <v>0</v>
      </c>
      <c r="X13" s="351">
        <v>0</v>
      </c>
      <c r="Y13" s="369">
        <v>0</v>
      </c>
      <c r="Z13" s="398">
        <v>0</v>
      </c>
      <c r="AF13" s="381" t="s">
        <v>1605</v>
      </c>
      <c r="AG13" s="355">
        <v>0</v>
      </c>
      <c r="AH13" s="351">
        <v>0</v>
      </c>
      <c r="AI13" s="356">
        <v>0</v>
      </c>
      <c r="AJ13" s="355">
        <v>0</v>
      </c>
      <c r="AK13" s="353">
        <v>0</v>
      </c>
      <c r="AL13" s="355">
        <v>-3458.93</v>
      </c>
      <c r="AM13" s="356">
        <v>0</v>
      </c>
      <c r="AN13" s="355">
        <v>0</v>
      </c>
      <c r="AO13" s="356">
        <v>0</v>
      </c>
      <c r="AP13" s="355">
        <v>3458.93</v>
      </c>
      <c r="AQ13" s="351">
        <v>0</v>
      </c>
      <c r="AR13" s="357">
        <v>0</v>
      </c>
      <c r="AS13" s="355">
        <v>0</v>
      </c>
      <c r="AT13" s="356">
        <v>0</v>
      </c>
      <c r="AU13" s="351">
        <v>0</v>
      </c>
      <c r="AV13" s="356">
        <v>0</v>
      </c>
      <c r="AW13" s="355">
        <v>0</v>
      </c>
      <c r="AX13" s="351">
        <v>0</v>
      </c>
      <c r="AY13" s="369">
        <v>0</v>
      </c>
      <c r="AZ13" s="399">
        <v>0</v>
      </c>
    </row>
    <row r="14" spans="1:52" ht="12.75" hidden="1" outlineLevel="1">
      <c r="A14" s="394">
        <v>12010</v>
      </c>
      <c r="B14" s="394" t="s">
        <v>616</v>
      </c>
      <c r="C14" s="394" t="s">
        <v>910</v>
      </c>
      <c r="D14" s="395">
        <v>1</v>
      </c>
      <c r="F14" s="349" t="s">
        <v>618</v>
      </c>
      <c r="G14" s="350">
        <v>21255.62</v>
      </c>
      <c r="H14" s="351">
        <v>19559.12</v>
      </c>
      <c r="I14" s="352">
        <v>8.673703111387425</v>
      </c>
      <c r="J14" s="350">
        <v>-3606.91</v>
      </c>
      <c r="K14" s="353">
        <v>-16.969206261685144</v>
      </c>
      <c r="L14" s="350">
        <v>17347.47</v>
      </c>
      <c r="M14" s="352">
        <v>88.69248718756263</v>
      </c>
      <c r="N14" s="350">
        <v>1257.5</v>
      </c>
      <c r="O14" s="352">
        <v>5.9160824290234775</v>
      </c>
      <c r="P14" s="350">
        <v>-20954.38</v>
      </c>
      <c r="Q14" s="351">
        <v>1504.6680451370003</v>
      </c>
      <c r="R14" s="354">
        <v>-22459.048045137002</v>
      </c>
      <c r="S14" s="350">
        <v>4043.43</v>
      </c>
      <c r="T14" s="352">
        <v>19.022874891440477</v>
      </c>
      <c r="U14" s="351">
        <v>820.98</v>
      </c>
      <c r="V14" s="352">
        <v>3.862413799268147</v>
      </c>
      <c r="W14" s="350">
        <v>5200</v>
      </c>
      <c r="X14" s="351">
        <v>-13031.59</v>
      </c>
      <c r="Y14" s="369">
        <v>7.5838766406249265</v>
      </c>
      <c r="Z14" s="398">
        <v>44926</v>
      </c>
      <c r="AF14" s="381" t="s">
        <v>618</v>
      </c>
      <c r="AG14" s="355">
        <v>385382.11000000004</v>
      </c>
      <c r="AH14" s="351">
        <v>81307.03</v>
      </c>
      <c r="AI14" s="356">
        <v>373.9837502366032</v>
      </c>
      <c r="AJ14" s="355">
        <v>183019.92000000007</v>
      </c>
      <c r="AK14" s="353">
        <v>47.490507538089936</v>
      </c>
      <c r="AL14" s="355">
        <v>56310.479999999996</v>
      </c>
      <c r="AM14" s="356">
        <v>69.2565944174815</v>
      </c>
      <c r="AN14" s="355">
        <v>228936.25000000006</v>
      </c>
      <c r="AO14" s="356">
        <v>59.405001960262254</v>
      </c>
      <c r="AP14" s="355">
        <v>126709.44000000008</v>
      </c>
      <c r="AQ14" s="351">
        <v>210592.04488023242</v>
      </c>
      <c r="AR14" s="357">
        <v>-83882.60488023232</v>
      </c>
      <c r="AS14" s="355">
        <v>26607.49</v>
      </c>
      <c r="AT14" s="356">
        <v>6.904184005842928</v>
      </c>
      <c r="AU14" s="351">
        <v>19308.839999999986</v>
      </c>
      <c r="AV14" s="356">
        <v>5.010310416329389</v>
      </c>
      <c r="AW14" s="355">
        <v>5200</v>
      </c>
      <c r="AX14" s="351">
        <v>900</v>
      </c>
      <c r="AY14" s="369">
        <v>4.9249821170993116</v>
      </c>
      <c r="AZ14" s="399">
        <v>44926</v>
      </c>
    </row>
    <row r="15" spans="1:52" ht="12.75" hidden="1" outlineLevel="1">
      <c r="A15" s="394">
        <v>12011</v>
      </c>
      <c r="B15" s="394" t="s">
        <v>616</v>
      </c>
      <c r="C15" s="394" t="s">
        <v>910</v>
      </c>
      <c r="D15" s="395">
        <v>1</v>
      </c>
      <c r="F15" s="349" t="s">
        <v>619</v>
      </c>
      <c r="G15" s="350">
        <v>41717.600000000006</v>
      </c>
      <c r="H15" s="351">
        <v>37593.77</v>
      </c>
      <c r="I15" s="352">
        <v>10.969450523318116</v>
      </c>
      <c r="J15" s="350">
        <v>22106.120000000006</v>
      </c>
      <c r="K15" s="353">
        <v>52.98991313018966</v>
      </c>
      <c r="L15" s="350">
        <v>51029.74</v>
      </c>
      <c r="M15" s="352">
        <v>135.73988456065993</v>
      </c>
      <c r="N15" s="350">
        <v>24323.600000000006</v>
      </c>
      <c r="O15" s="352">
        <v>58.305367518745086</v>
      </c>
      <c r="P15" s="350">
        <v>-28923.61999999999</v>
      </c>
      <c r="Q15" s="351">
        <v>5597.682081477875</v>
      </c>
      <c r="R15" s="354">
        <v>-34521.30208147787</v>
      </c>
      <c r="S15" s="350">
        <v>2030.01</v>
      </c>
      <c r="T15" s="352">
        <v>4.866075709053253</v>
      </c>
      <c r="U15" s="351">
        <v>187.46999999999957</v>
      </c>
      <c r="V15" s="352">
        <v>0.4493786795021754</v>
      </c>
      <c r="W15" s="350">
        <v>6700</v>
      </c>
      <c r="X15" s="351">
        <v>-2486.81</v>
      </c>
      <c r="Y15" s="369">
        <v>4.9787140199819735</v>
      </c>
      <c r="Z15" s="398">
        <v>44926</v>
      </c>
      <c r="AF15" s="381" t="s">
        <v>619</v>
      </c>
      <c r="AG15" s="355">
        <v>486440.19</v>
      </c>
      <c r="AH15" s="351">
        <v>124217.77</v>
      </c>
      <c r="AI15" s="356">
        <v>291.60273928601356</v>
      </c>
      <c r="AJ15" s="355">
        <v>282179.74</v>
      </c>
      <c r="AK15" s="353">
        <v>58.009133661427114</v>
      </c>
      <c r="AL15" s="355">
        <v>106789.63</v>
      </c>
      <c r="AM15" s="356">
        <v>85.96968855583222</v>
      </c>
      <c r="AN15" s="355">
        <v>303138.15</v>
      </c>
      <c r="AO15" s="356">
        <v>62.317661293570346</v>
      </c>
      <c r="AP15" s="355">
        <v>175390.11</v>
      </c>
      <c r="AQ15" s="351">
        <v>311401.48635339853</v>
      </c>
      <c r="AR15" s="357">
        <v>-136011.37635339858</v>
      </c>
      <c r="AS15" s="355">
        <v>19783.08</v>
      </c>
      <c r="AT15" s="356">
        <v>4.0669090273975925</v>
      </c>
      <c r="AU15" s="351">
        <v>1175.3300000000309</v>
      </c>
      <c r="AV15" s="356">
        <v>0.24161860474563807</v>
      </c>
      <c r="AW15" s="355">
        <v>6700</v>
      </c>
      <c r="AX15" s="351">
        <v>-1700</v>
      </c>
      <c r="AY15" s="369">
        <v>5.027339537878233</v>
      </c>
      <c r="AZ15" s="399">
        <v>44926</v>
      </c>
    </row>
    <row r="16" spans="1:52" ht="12.75" hidden="1" outlineLevel="1">
      <c r="A16" s="394">
        <v>12012</v>
      </c>
      <c r="B16" s="394" t="s">
        <v>616</v>
      </c>
      <c r="C16" s="394" t="s">
        <v>910</v>
      </c>
      <c r="D16" s="395">
        <v>1</v>
      </c>
      <c r="F16" s="349" t="s">
        <v>620</v>
      </c>
      <c r="G16" s="350">
        <v>54798.44</v>
      </c>
      <c r="H16" s="351">
        <v>42459.98</v>
      </c>
      <c r="I16" s="352">
        <v>29.059033942079104</v>
      </c>
      <c r="J16" s="350">
        <v>50722.93000000001</v>
      </c>
      <c r="K16" s="353">
        <v>92.5627262381922</v>
      </c>
      <c r="L16" s="350">
        <v>64899.71</v>
      </c>
      <c r="M16" s="352">
        <v>152.84912993364574</v>
      </c>
      <c r="N16" s="350">
        <v>52472.240000000005</v>
      </c>
      <c r="O16" s="352">
        <v>95.7549886456622</v>
      </c>
      <c r="P16" s="350">
        <v>-14176.779999999992</v>
      </c>
      <c r="Q16" s="351">
        <v>18859.228757210905</v>
      </c>
      <c r="R16" s="354">
        <v>-33036.0087572109</v>
      </c>
      <c r="S16" s="350">
        <v>0</v>
      </c>
      <c r="T16" s="352">
        <v>0</v>
      </c>
      <c r="U16" s="351">
        <v>1749.3099999999977</v>
      </c>
      <c r="V16" s="352">
        <v>3.1922624074699892</v>
      </c>
      <c r="W16" s="350">
        <v>13000</v>
      </c>
      <c r="X16" s="351">
        <v>21767.58</v>
      </c>
      <c r="Y16" s="369">
        <v>7.354223952360687</v>
      </c>
      <c r="Z16" s="398">
        <v>44926</v>
      </c>
      <c r="AF16" s="381" t="s">
        <v>620</v>
      </c>
      <c r="AG16" s="355">
        <v>524233.84</v>
      </c>
      <c r="AH16" s="351">
        <v>103398.14</v>
      </c>
      <c r="AI16" s="356">
        <v>407.0050969969093</v>
      </c>
      <c r="AJ16" s="355">
        <v>328125.41</v>
      </c>
      <c r="AK16" s="353">
        <v>62.59142103455205</v>
      </c>
      <c r="AL16" s="355">
        <v>97668.15</v>
      </c>
      <c r="AM16" s="356">
        <v>94.45832391182279</v>
      </c>
      <c r="AN16" s="355">
        <v>310569.62</v>
      </c>
      <c r="AO16" s="356">
        <v>59.24257388649309</v>
      </c>
      <c r="AP16" s="355">
        <v>230457.25999999998</v>
      </c>
      <c r="AQ16" s="351">
        <v>397514.3486425868</v>
      </c>
      <c r="AR16" s="357">
        <v>-167057.08864258684</v>
      </c>
      <c r="AS16" s="355">
        <v>-25495.91</v>
      </c>
      <c r="AT16" s="356">
        <v>-4.863461313371147</v>
      </c>
      <c r="AU16" s="351">
        <v>7940.120000000021</v>
      </c>
      <c r="AV16" s="356">
        <v>1.514614165312186</v>
      </c>
      <c r="AW16" s="355">
        <v>13000</v>
      </c>
      <c r="AX16" s="351">
        <v>5000</v>
      </c>
      <c r="AY16" s="369">
        <v>9.05130428054778</v>
      </c>
      <c r="AZ16" s="399">
        <v>44926</v>
      </c>
    </row>
    <row r="17" spans="1:52" ht="12.75" hidden="1" outlineLevel="1">
      <c r="A17" s="394">
        <v>12013</v>
      </c>
      <c r="B17" s="394" t="s">
        <v>616</v>
      </c>
      <c r="C17" s="394" t="s">
        <v>910</v>
      </c>
      <c r="D17" s="395">
        <v>1</v>
      </c>
      <c r="F17" s="349" t="s">
        <v>621</v>
      </c>
      <c r="G17" s="350">
        <v>590.41</v>
      </c>
      <c r="H17" s="351">
        <v>604.32</v>
      </c>
      <c r="I17" s="352">
        <v>-2.301760656605785</v>
      </c>
      <c r="J17" s="350">
        <v>-6336.96</v>
      </c>
      <c r="K17" s="353">
        <v>-1073.3151538761201</v>
      </c>
      <c r="L17" s="350">
        <v>-699.7699999999999</v>
      </c>
      <c r="M17" s="352">
        <v>-115.79461212602591</v>
      </c>
      <c r="N17" s="350">
        <v>-6275.72</v>
      </c>
      <c r="O17" s="352">
        <v>-1062.942700835013</v>
      </c>
      <c r="P17" s="350">
        <v>-5637.1900000000005</v>
      </c>
      <c r="Q17" s="351">
        <v>16.1070305467303</v>
      </c>
      <c r="R17" s="354">
        <v>-5653.297030546731</v>
      </c>
      <c r="S17" s="350">
        <v>61.24</v>
      </c>
      <c r="T17" s="352">
        <v>10.372453041107027</v>
      </c>
      <c r="U17" s="351">
        <v>-2.2026824808563106E-13</v>
      </c>
      <c r="V17" s="352">
        <v>-3.730767569750361E-14</v>
      </c>
      <c r="W17" s="350">
        <v>0</v>
      </c>
      <c r="X17" s="351">
        <v>-6927.37</v>
      </c>
      <c r="Y17" s="369">
        <v>0</v>
      </c>
      <c r="Z17" s="398">
        <v>44926</v>
      </c>
      <c r="AF17" s="381" t="s">
        <v>621</v>
      </c>
      <c r="AG17" s="355">
        <v>4179.79</v>
      </c>
      <c r="AH17" s="351">
        <v>1033.85</v>
      </c>
      <c r="AI17" s="356">
        <v>304.293659621802</v>
      </c>
      <c r="AJ17" s="355">
        <v>-2386.99</v>
      </c>
      <c r="AK17" s="353">
        <v>-57.107892980269334</v>
      </c>
      <c r="AL17" s="355">
        <v>-498.93000000000006</v>
      </c>
      <c r="AM17" s="356">
        <v>-48.25941867775791</v>
      </c>
      <c r="AN17" s="355">
        <v>-4622.62</v>
      </c>
      <c r="AO17" s="356">
        <v>-110.5945514009077</v>
      </c>
      <c r="AP17" s="355">
        <v>-1888.0599999999997</v>
      </c>
      <c r="AQ17" s="351">
        <v>-1518.2123559510571</v>
      </c>
      <c r="AR17" s="357">
        <v>-369.84764404894264</v>
      </c>
      <c r="AS17" s="355">
        <v>1815.32</v>
      </c>
      <c r="AT17" s="356">
        <v>43.43089006863981</v>
      </c>
      <c r="AU17" s="351">
        <v>-4050.95</v>
      </c>
      <c r="AV17" s="356">
        <v>-96.91754848927818</v>
      </c>
      <c r="AW17" s="355">
        <v>0</v>
      </c>
      <c r="AX17" s="351">
        <v>0</v>
      </c>
      <c r="AY17" s="369">
        <v>0</v>
      </c>
      <c r="AZ17" s="399">
        <v>44926</v>
      </c>
    </row>
    <row r="18" spans="1:52" ht="12.75" hidden="1" outlineLevel="1">
      <c r="A18" s="394">
        <v>12014</v>
      </c>
      <c r="B18" s="394" t="s">
        <v>616</v>
      </c>
      <c r="C18" s="394" t="s">
        <v>910</v>
      </c>
      <c r="D18" s="395">
        <v>1</v>
      </c>
      <c r="F18" s="349" t="s">
        <v>622</v>
      </c>
      <c r="G18" s="350">
        <v>2681.76</v>
      </c>
      <c r="H18" s="351">
        <v>1647.82</v>
      </c>
      <c r="I18" s="352">
        <v>62.74593098760789</v>
      </c>
      <c r="J18" s="350">
        <v>2417.3600000000006</v>
      </c>
      <c r="K18" s="353">
        <v>90.14080305471036</v>
      </c>
      <c r="L18" s="350">
        <v>-1327.91</v>
      </c>
      <c r="M18" s="352">
        <v>-80.58586496097875</v>
      </c>
      <c r="N18" s="350">
        <v>2802.3700000000003</v>
      </c>
      <c r="O18" s="352">
        <v>104.49741960503552</v>
      </c>
      <c r="P18" s="350">
        <v>3745.2700000000004</v>
      </c>
      <c r="Q18" s="351">
        <v>-833.209492177544</v>
      </c>
      <c r="R18" s="354">
        <v>4578.479492177545</v>
      </c>
      <c r="S18" s="350">
        <v>385.01</v>
      </c>
      <c r="T18" s="352">
        <v>14.356616550325159</v>
      </c>
      <c r="U18" s="351">
        <v>0</v>
      </c>
      <c r="V18" s="352">
        <v>0</v>
      </c>
      <c r="W18" s="350">
        <v>0</v>
      </c>
      <c r="X18" s="351">
        <v>51.79</v>
      </c>
      <c r="Y18" s="369">
        <v>0</v>
      </c>
      <c r="Z18" s="398">
        <v>44926</v>
      </c>
      <c r="AF18" s="381" t="s">
        <v>622</v>
      </c>
      <c r="AG18" s="355">
        <v>23675.67</v>
      </c>
      <c r="AH18" s="351">
        <v>4565.15</v>
      </c>
      <c r="AI18" s="356">
        <v>418.61757006889144</v>
      </c>
      <c r="AJ18" s="355">
        <v>-6960.2400000000025</v>
      </c>
      <c r="AK18" s="353">
        <v>-29.398281020135872</v>
      </c>
      <c r="AL18" s="355">
        <v>64.00999999999931</v>
      </c>
      <c r="AM18" s="356">
        <v>1.4021445078474817</v>
      </c>
      <c r="AN18" s="355">
        <v>12820.829999999998</v>
      </c>
      <c r="AO18" s="356">
        <v>54.15192051587135</v>
      </c>
      <c r="AP18" s="355">
        <v>-7024.250000000002</v>
      </c>
      <c r="AQ18" s="351">
        <v>267.9571066010945</v>
      </c>
      <c r="AR18" s="357">
        <v>-7292.207106601096</v>
      </c>
      <c r="AS18" s="355">
        <v>3076.32</v>
      </c>
      <c r="AT18" s="356">
        <v>12.99359215599812</v>
      </c>
      <c r="AU18" s="351">
        <v>16704.75</v>
      </c>
      <c r="AV18" s="356">
        <v>70.5566093800091</v>
      </c>
      <c r="AW18" s="355">
        <v>0</v>
      </c>
      <c r="AX18" s="351">
        <v>-300</v>
      </c>
      <c r="AY18" s="369">
        <v>0</v>
      </c>
      <c r="AZ18" s="399">
        <v>44926</v>
      </c>
    </row>
    <row r="19" spans="1:52" ht="12.75" hidden="1" outlineLevel="1">
      <c r="A19" s="394">
        <v>12015</v>
      </c>
      <c r="B19" s="394" t="s">
        <v>616</v>
      </c>
      <c r="C19" s="394" t="s">
        <v>910</v>
      </c>
      <c r="D19" s="395">
        <v>1</v>
      </c>
      <c r="F19" s="349" t="s">
        <v>623</v>
      </c>
      <c r="G19" s="350">
        <v>51973</v>
      </c>
      <c r="H19" s="351">
        <v>62189.95</v>
      </c>
      <c r="I19" s="352">
        <v>-16.428619093599526</v>
      </c>
      <c r="J19" s="350">
        <v>43020.47</v>
      </c>
      <c r="K19" s="353">
        <v>82.77465222326977</v>
      </c>
      <c r="L19" s="350">
        <v>73246.81</v>
      </c>
      <c r="M19" s="352">
        <v>117.7791749309977</v>
      </c>
      <c r="N19" s="350">
        <v>49046.95</v>
      </c>
      <c r="O19" s="352">
        <v>94.37005752987127</v>
      </c>
      <c r="P19" s="350">
        <v>-30226.339999999997</v>
      </c>
      <c r="Q19" s="351">
        <v>-12033.439413112566</v>
      </c>
      <c r="R19" s="354">
        <v>-18192.900586887434</v>
      </c>
      <c r="S19" s="350">
        <v>6026.48</v>
      </c>
      <c r="T19" s="352">
        <v>11.595405306601505</v>
      </c>
      <c r="U19" s="351">
        <v>0</v>
      </c>
      <c r="V19" s="352">
        <v>0</v>
      </c>
      <c r="W19" s="350">
        <v>5000</v>
      </c>
      <c r="X19" s="351">
        <v>13945.57</v>
      </c>
      <c r="Y19" s="369">
        <v>2.9823177419044504</v>
      </c>
      <c r="Z19" s="398">
        <v>44926</v>
      </c>
      <c r="AF19" s="381" t="s">
        <v>623</v>
      </c>
      <c r="AG19" s="355">
        <v>841854.7699999999</v>
      </c>
      <c r="AH19" s="351">
        <v>208853.55000000002</v>
      </c>
      <c r="AI19" s="356">
        <v>303.083773294732</v>
      </c>
      <c r="AJ19" s="355">
        <v>515180.65999999986</v>
      </c>
      <c r="AK19" s="353">
        <v>61.195906747668595</v>
      </c>
      <c r="AL19" s="355">
        <v>167233.71000000002</v>
      </c>
      <c r="AM19" s="356">
        <v>80.07223722077025</v>
      </c>
      <c r="AN19" s="355">
        <v>528593.3499999999</v>
      </c>
      <c r="AO19" s="356">
        <v>62.78913760861626</v>
      </c>
      <c r="AP19" s="355">
        <v>347946.94999999984</v>
      </c>
      <c r="AQ19" s="351">
        <v>506858.2384887696</v>
      </c>
      <c r="AR19" s="357">
        <v>-158911.28848876982</v>
      </c>
      <c r="AS19" s="355">
        <v>60821.82</v>
      </c>
      <c r="AT19" s="356">
        <v>7.2247402007355745</v>
      </c>
      <c r="AU19" s="351">
        <v>-47409.13</v>
      </c>
      <c r="AV19" s="356">
        <v>-5.6315093397879075</v>
      </c>
      <c r="AW19" s="355">
        <v>5000</v>
      </c>
      <c r="AX19" s="351">
        <v>-1700</v>
      </c>
      <c r="AY19" s="369">
        <v>2.167832344764169</v>
      </c>
      <c r="AZ19" s="399">
        <v>44926</v>
      </c>
    </row>
    <row r="20" spans="1:52" ht="12.75" hidden="1" outlineLevel="1">
      <c r="A20" s="394">
        <v>12016</v>
      </c>
      <c r="B20" s="394" t="s">
        <v>616</v>
      </c>
      <c r="C20" s="394" t="s">
        <v>910</v>
      </c>
      <c r="D20" s="395">
        <v>1</v>
      </c>
      <c r="F20" s="349" t="s">
        <v>1606</v>
      </c>
      <c r="G20" s="350">
        <v>1538.24</v>
      </c>
      <c r="H20" s="351">
        <v>706.09</v>
      </c>
      <c r="I20" s="352">
        <v>117.85324816949681</v>
      </c>
      <c r="J20" s="350">
        <v>4258.24</v>
      </c>
      <c r="K20" s="353">
        <v>276.8254628666528</v>
      </c>
      <c r="L20" s="350">
        <v>1602.0900000000001</v>
      </c>
      <c r="M20" s="352">
        <v>226.89600475860016</v>
      </c>
      <c r="N20" s="350">
        <v>4258.24</v>
      </c>
      <c r="O20" s="352">
        <v>276.8254628666528</v>
      </c>
      <c r="P20" s="350">
        <v>2656.1499999999996</v>
      </c>
      <c r="Q20" s="351">
        <v>1888.1151035986913</v>
      </c>
      <c r="R20" s="354">
        <v>768.0348964013087</v>
      </c>
      <c r="S20" s="350">
        <v>0</v>
      </c>
      <c r="T20" s="352">
        <v>0</v>
      </c>
      <c r="U20" s="351">
        <v>0</v>
      </c>
      <c r="V20" s="352">
        <v>0</v>
      </c>
      <c r="W20" s="350">
        <v>0</v>
      </c>
      <c r="X20" s="351">
        <v>2720</v>
      </c>
      <c r="Y20" s="369">
        <v>0</v>
      </c>
      <c r="Z20" s="398">
        <v>44926</v>
      </c>
      <c r="AF20" s="381" t="s">
        <v>1606</v>
      </c>
      <c r="AG20" s="355">
        <v>10465.08</v>
      </c>
      <c r="AH20" s="351">
        <v>2118.27</v>
      </c>
      <c r="AI20" s="356">
        <v>394.03900352646264</v>
      </c>
      <c r="AJ20" s="355">
        <v>5963.849999999999</v>
      </c>
      <c r="AK20" s="353">
        <v>56.988097558738204</v>
      </c>
      <c r="AL20" s="355">
        <v>2118.27</v>
      </c>
      <c r="AM20" s="356">
        <v>100</v>
      </c>
      <c r="AN20" s="355">
        <v>7521.08</v>
      </c>
      <c r="AO20" s="356">
        <v>71.86834692138044</v>
      </c>
      <c r="AP20" s="355">
        <v>3845.5799999999995</v>
      </c>
      <c r="AQ20" s="351">
        <v>8346.81</v>
      </c>
      <c r="AR20" s="357">
        <v>-4501.230000000001</v>
      </c>
      <c r="AS20" s="355">
        <v>0</v>
      </c>
      <c r="AT20" s="356">
        <v>0</v>
      </c>
      <c r="AU20" s="351">
        <v>1557.2300000000005</v>
      </c>
      <c r="AV20" s="356">
        <v>14.88024936264224</v>
      </c>
      <c r="AW20" s="355">
        <v>0</v>
      </c>
      <c r="AX20" s="351">
        <v>0</v>
      </c>
      <c r="AY20" s="369">
        <v>0</v>
      </c>
      <c r="AZ20" s="399">
        <v>44926</v>
      </c>
    </row>
    <row r="21" spans="1:52" ht="12.75" hidden="1" outlineLevel="1">
      <c r="A21" s="394">
        <v>12017</v>
      </c>
      <c r="B21" s="394" t="s">
        <v>616</v>
      </c>
      <c r="C21" s="394" t="s">
        <v>910</v>
      </c>
      <c r="D21" s="395">
        <v>1</v>
      </c>
      <c r="F21" s="349" t="s">
        <v>624</v>
      </c>
      <c r="G21" s="350">
        <v>0</v>
      </c>
      <c r="H21" s="351">
        <v>0</v>
      </c>
      <c r="I21" s="352">
        <v>0</v>
      </c>
      <c r="J21" s="350">
        <v>-35319.96</v>
      </c>
      <c r="K21" s="353">
        <v>0</v>
      </c>
      <c r="L21" s="350">
        <v>-6201.700000000001</v>
      </c>
      <c r="M21" s="352">
        <v>0</v>
      </c>
      <c r="N21" s="350">
        <v>-35319.96</v>
      </c>
      <c r="O21" s="352">
        <v>0</v>
      </c>
      <c r="P21" s="350">
        <v>-29118.26</v>
      </c>
      <c r="Q21" s="351">
        <v>0</v>
      </c>
      <c r="R21" s="354">
        <v>0</v>
      </c>
      <c r="S21" s="350">
        <v>0</v>
      </c>
      <c r="T21" s="352">
        <v>0</v>
      </c>
      <c r="U21" s="351">
        <v>0</v>
      </c>
      <c r="V21" s="352">
        <v>0</v>
      </c>
      <c r="W21" s="350">
        <v>0</v>
      </c>
      <c r="X21" s="351">
        <v>-27110.69</v>
      </c>
      <c r="Y21" s="369">
        <v>0</v>
      </c>
      <c r="Z21" s="398">
        <v>44926</v>
      </c>
      <c r="AF21" s="381" t="s">
        <v>624</v>
      </c>
      <c r="AG21" s="355">
        <v>1038.4</v>
      </c>
      <c r="AH21" s="351">
        <v>0</v>
      </c>
      <c r="AI21" s="356">
        <v>0</v>
      </c>
      <c r="AJ21" s="355">
        <v>-83836.86</v>
      </c>
      <c r="AK21" s="353">
        <v>-8073.6575500770405</v>
      </c>
      <c r="AL21" s="355">
        <v>-6201.700000000001</v>
      </c>
      <c r="AM21" s="356">
        <v>0</v>
      </c>
      <c r="AN21" s="355">
        <v>-34561.56</v>
      </c>
      <c r="AO21" s="356">
        <v>-3328.3474576271183</v>
      </c>
      <c r="AP21" s="355">
        <v>-77635.16</v>
      </c>
      <c r="AQ21" s="351">
        <v>0</v>
      </c>
      <c r="AR21" s="357">
        <v>-83836.86</v>
      </c>
      <c r="AS21" s="355">
        <v>0</v>
      </c>
      <c r="AT21" s="356">
        <v>0</v>
      </c>
      <c r="AU21" s="351">
        <v>49275.3</v>
      </c>
      <c r="AV21" s="356">
        <v>4745.310092449922</v>
      </c>
      <c r="AW21" s="355">
        <v>0</v>
      </c>
      <c r="AX21" s="351">
        <v>-3000</v>
      </c>
      <c r="AY21" s="369">
        <v>0</v>
      </c>
      <c r="AZ21" s="399">
        <v>44926</v>
      </c>
    </row>
    <row r="22" spans="1:52" ht="12.75" hidden="1" outlineLevel="1">
      <c r="A22" s="394">
        <v>12018</v>
      </c>
      <c r="B22" s="394" t="s">
        <v>616</v>
      </c>
      <c r="C22" s="394" t="s">
        <v>910</v>
      </c>
      <c r="D22" s="395">
        <v>1</v>
      </c>
      <c r="F22" s="349" t="s">
        <v>626</v>
      </c>
      <c r="G22" s="350">
        <v>2956.52</v>
      </c>
      <c r="H22" s="351">
        <v>4362.66</v>
      </c>
      <c r="I22" s="352">
        <v>-32.23125340961707</v>
      </c>
      <c r="J22" s="350">
        <v>6989.860000000001</v>
      </c>
      <c r="K22" s="353">
        <v>236.42187436580846</v>
      </c>
      <c r="L22" s="350">
        <v>23063.66</v>
      </c>
      <c r="M22" s="352">
        <v>528.6604961193401</v>
      </c>
      <c r="N22" s="350">
        <v>6989.860000000001</v>
      </c>
      <c r="O22" s="352">
        <v>236.42187436580846</v>
      </c>
      <c r="P22" s="350">
        <v>-16073.8</v>
      </c>
      <c r="Q22" s="351">
        <v>-7433.706700132487</v>
      </c>
      <c r="R22" s="354">
        <v>-8640.09329986751</v>
      </c>
      <c r="S22" s="350">
        <v>0</v>
      </c>
      <c r="T22" s="352">
        <v>0</v>
      </c>
      <c r="U22" s="351">
        <v>0</v>
      </c>
      <c r="V22" s="352">
        <v>0</v>
      </c>
      <c r="W22" s="350">
        <v>0</v>
      </c>
      <c r="X22" s="351">
        <v>4033.34</v>
      </c>
      <c r="Y22" s="369">
        <v>0</v>
      </c>
      <c r="Z22" s="398">
        <v>44926</v>
      </c>
      <c r="AF22" s="381" t="s">
        <v>626</v>
      </c>
      <c r="AG22" s="355">
        <v>119271.32999999999</v>
      </c>
      <c r="AH22" s="351">
        <v>22162.76</v>
      </c>
      <c r="AI22" s="356">
        <v>438.16099619361484</v>
      </c>
      <c r="AJ22" s="355">
        <v>59443.70999999999</v>
      </c>
      <c r="AK22" s="353">
        <v>49.839060233502885</v>
      </c>
      <c r="AL22" s="355">
        <v>32125.239999999998</v>
      </c>
      <c r="AM22" s="356">
        <v>144.95144106600443</v>
      </c>
      <c r="AN22" s="355">
        <v>70438.01999999999</v>
      </c>
      <c r="AO22" s="356">
        <v>59.05695861696184</v>
      </c>
      <c r="AP22" s="355">
        <v>27318.469999999994</v>
      </c>
      <c r="AQ22" s="351">
        <v>140760.27161358963</v>
      </c>
      <c r="AR22" s="357">
        <v>-113441.80161358963</v>
      </c>
      <c r="AS22" s="355">
        <v>0</v>
      </c>
      <c r="AT22" s="356">
        <v>0</v>
      </c>
      <c r="AU22" s="351">
        <v>10994.309999999998</v>
      </c>
      <c r="AV22" s="356">
        <v>9.217898383458957</v>
      </c>
      <c r="AW22" s="355">
        <v>0</v>
      </c>
      <c r="AX22" s="351">
        <v>0</v>
      </c>
      <c r="AY22" s="369">
        <v>0</v>
      </c>
      <c r="AZ22" s="399">
        <v>44926</v>
      </c>
    </row>
    <row r="23" spans="1:52" ht="12.75" hidden="1" outlineLevel="1">
      <c r="A23" s="394">
        <v>12019</v>
      </c>
      <c r="B23" s="394" t="s">
        <v>616</v>
      </c>
      <c r="C23" s="394" t="s">
        <v>910</v>
      </c>
      <c r="D23" s="395">
        <v>1</v>
      </c>
      <c r="F23" s="349" t="s">
        <v>625</v>
      </c>
      <c r="G23" s="350">
        <v>0</v>
      </c>
      <c r="H23" s="351">
        <v>0</v>
      </c>
      <c r="I23" s="352">
        <v>0</v>
      </c>
      <c r="J23" s="350">
        <v>-20073.91</v>
      </c>
      <c r="K23" s="353">
        <v>0</v>
      </c>
      <c r="L23" s="350">
        <v>19793.67</v>
      </c>
      <c r="M23" s="352">
        <v>0</v>
      </c>
      <c r="N23" s="350">
        <v>-20073.91</v>
      </c>
      <c r="O23" s="352">
        <v>0</v>
      </c>
      <c r="P23" s="350">
        <v>-39867.58</v>
      </c>
      <c r="Q23" s="351">
        <v>0</v>
      </c>
      <c r="R23" s="354">
        <v>0</v>
      </c>
      <c r="S23" s="350">
        <v>0</v>
      </c>
      <c r="T23" s="352">
        <v>0</v>
      </c>
      <c r="U23" s="351">
        <v>0</v>
      </c>
      <c r="V23" s="352">
        <v>0</v>
      </c>
      <c r="W23" s="350">
        <v>15600</v>
      </c>
      <c r="X23" s="351">
        <v>-15522.93</v>
      </c>
      <c r="Y23" s="369">
        <v>0</v>
      </c>
      <c r="Z23" s="398">
        <v>44926</v>
      </c>
      <c r="AF23" s="381" t="s">
        <v>625</v>
      </c>
      <c r="AG23" s="355">
        <v>0</v>
      </c>
      <c r="AH23" s="351">
        <v>0</v>
      </c>
      <c r="AI23" s="356">
        <v>0</v>
      </c>
      <c r="AJ23" s="355">
        <v>-22996.68</v>
      </c>
      <c r="AK23" s="353">
        <v>0</v>
      </c>
      <c r="AL23" s="355">
        <v>-6449.990000000002</v>
      </c>
      <c r="AM23" s="356">
        <v>0</v>
      </c>
      <c r="AN23" s="355">
        <v>-20073.91</v>
      </c>
      <c r="AO23" s="356">
        <v>0</v>
      </c>
      <c r="AP23" s="355">
        <v>-16546.69</v>
      </c>
      <c r="AQ23" s="351">
        <v>0</v>
      </c>
      <c r="AR23" s="357">
        <v>0</v>
      </c>
      <c r="AS23" s="355">
        <v>0</v>
      </c>
      <c r="AT23" s="356">
        <v>0</v>
      </c>
      <c r="AU23" s="351">
        <v>2922.7700000000004</v>
      </c>
      <c r="AV23" s="356">
        <v>0</v>
      </c>
      <c r="AW23" s="355">
        <v>15600</v>
      </c>
      <c r="AX23" s="351">
        <v>10700</v>
      </c>
      <c r="AY23" s="369">
        <v>0</v>
      </c>
      <c r="AZ23" s="399">
        <v>44926</v>
      </c>
    </row>
    <row r="24" spans="1:52" ht="12.75" collapsed="1">
      <c r="A24" s="394">
        <v>120</v>
      </c>
      <c r="B24" s="394" t="s">
        <v>627</v>
      </c>
      <c r="C24" s="394" t="s">
        <v>910</v>
      </c>
      <c r="D24" s="395">
        <v>2</v>
      </c>
      <c r="F24" s="349" t="s">
        <v>510</v>
      </c>
      <c r="G24" s="350">
        <v>177511.59</v>
      </c>
      <c r="H24" s="351">
        <v>169123.71000000002</v>
      </c>
      <c r="I24" s="352">
        <v>4.95961210879301</v>
      </c>
      <c r="J24" s="350">
        <v>64177.240000000005</v>
      </c>
      <c r="K24" s="353">
        <v>36.15383085690349</v>
      </c>
      <c r="L24" s="350">
        <v>122312.67000000001</v>
      </c>
      <c r="M24" s="352">
        <v>72.32142081083722</v>
      </c>
      <c r="N24" s="350">
        <v>79481.17</v>
      </c>
      <c r="O24" s="352">
        <v>44.77520031227257</v>
      </c>
      <c r="P24" s="350">
        <v>-58135.43000000001</v>
      </c>
      <c r="Q24" s="351">
        <v>6066.233991908036</v>
      </c>
      <c r="R24" s="354">
        <v>-64201.66399190803</v>
      </c>
      <c r="S24" s="350">
        <v>12546.169999999998</v>
      </c>
      <c r="T24" s="352">
        <v>7.067803291041446</v>
      </c>
      <c r="U24" s="351">
        <v>2757.7599999999948</v>
      </c>
      <c r="V24" s="352">
        <v>1.5535661643276333</v>
      </c>
      <c r="W24" s="350">
        <v>45500</v>
      </c>
      <c r="X24" s="351">
        <v>-22561.109999999997</v>
      </c>
      <c r="Y24" s="369">
        <v>7.94596003562359</v>
      </c>
      <c r="Z24" s="398">
        <v>44561</v>
      </c>
      <c r="AF24" s="381" t="s">
        <v>510</v>
      </c>
      <c r="AG24" s="355">
        <v>2396541.18</v>
      </c>
      <c r="AH24" s="351">
        <v>2619225.3500000006</v>
      </c>
      <c r="AI24" s="356">
        <v>-8.501909543598467</v>
      </c>
      <c r="AJ24" s="355">
        <v>1257732.52</v>
      </c>
      <c r="AK24" s="353">
        <v>52.4811561969488</v>
      </c>
      <c r="AL24" s="355">
        <v>1398300.7500000007</v>
      </c>
      <c r="AM24" s="356">
        <v>53.386042174645276</v>
      </c>
      <c r="AN24" s="355">
        <v>1402759.21</v>
      </c>
      <c r="AO24" s="356">
        <v>58.5326562174909</v>
      </c>
      <c r="AP24" s="355">
        <v>-140568.23000000068</v>
      </c>
      <c r="AQ24" s="351">
        <v>-118882.264912459</v>
      </c>
      <c r="AR24" s="357">
        <v>-21685.965087541736</v>
      </c>
      <c r="AS24" s="355">
        <v>86608.12000000001</v>
      </c>
      <c r="AT24" s="356">
        <v>3.6138799000315953</v>
      </c>
      <c r="AU24" s="351">
        <v>58418.569999999934</v>
      </c>
      <c r="AV24" s="356">
        <v>2.4376201205105072</v>
      </c>
      <c r="AW24" s="355">
        <v>45500</v>
      </c>
      <c r="AX24" s="351">
        <v>9900</v>
      </c>
      <c r="AY24" s="369">
        <v>6.929778690470905</v>
      </c>
      <c r="AZ24" s="399">
        <v>44561</v>
      </c>
    </row>
    <row r="25" spans="1:52" ht="12.75" hidden="1" outlineLevel="1">
      <c r="A25" s="394">
        <v>2101</v>
      </c>
      <c r="B25" s="394" t="s">
        <v>616</v>
      </c>
      <c r="C25" s="394" t="s">
        <v>910</v>
      </c>
      <c r="D25" s="395">
        <v>1</v>
      </c>
      <c r="F25" s="349" t="s">
        <v>1608</v>
      </c>
      <c r="G25" s="350">
        <v>0</v>
      </c>
      <c r="H25" s="351">
        <v>0</v>
      </c>
      <c r="I25" s="352">
        <v>0</v>
      </c>
      <c r="J25" s="350">
        <v>0</v>
      </c>
      <c r="K25" s="353">
        <v>0</v>
      </c>
      <c r="L25" s="350">
        <v>-6131.55</v>
      </c>
      <c r="M25" s="352">
        <v>0</v>
      </c>
      <c r="N25" s="350">
        <v>0</v>
      </c>
      <c r="O25" s="352">
        <v>0</v>
      </c>
      <c r="P25" s="350">
        <v>6131.55</v>
      </c>
      <c r="Q25" s="351">
        <v>0</v>
      </c>
      <c r="R25" s="354">
        <v>0</v>
      </c>
      <c r="S25" s="350">
        <v>0</v>
      </c>
      <c r="T25" s="352">
        <v>0</v>
      </c>
      <c r="U25" s="351">
        <v>0</v>
      </c>
      <c r="V25" s="352">
        <v>0</v>
      </c>
      <c r="W25" s="350">
        <v>0</v>
      </c>
      <c r="X25" s="351">
        <v>0</v>
      </c>
      <c r="Y25" s="369">
        <v>0</v>
      </c>
      <c r="Z25" s="398">
        <v>44561</v>
      </c>
      <c r="AF25" s="381" t="s">
        <v>1608</v>
      </c>
      <c r="AG25" s="355">
        <v>0</v>
      </c>
      <c r="AH25" s="351">
        <v>78691.2</v>
      </c>
      <c r="AI25" s="356">
        <v>-100</v>
      </c>
      <c r="AJ25" s="355">
        <v>0</v>
      </c>
      <c r="AK25" s="353">
        <v>0</v>
      </c>
      <c r="AL25" s="355">
        <v>25799.799999999996</v>
      </c>
      <c r="AM25" s="356">
        <v>32.786131104875764</v>
      </c>
      <c r="AN25" s="355">
        <v>0</v>
      </c>
      <c r="AO25" s="356">
        <v>0</v>
      </c>
      <c r="AP25" s="355">
        <v>-25799.799999999996</v>
      </c>
      <c r="AQ25" s="351">
        <v>-25799.799999999996</v>
      </c>
      <c r="AR25" s="357">
        <v>0</v>
      </c>
      <c r="AS25" s="355">
        <v>0</v>
      </c>
      <c r="AT25" s="356">
        <v>0</v>
      </c>
      <c r="AU25" s="351">
        <v>0</v>
      </c>
      <c r="AV25" s="356">
        <v>0</v>
      </c>
      <c r="AW25" s="355">
        <v>0</v>
      </c>
      <c r="AX25" s="351">
        <v>0</v>
      </c>
      <c r="AY25" s="369">
        <v>0</v>
      </c>
      <c r="AZ25" s="399">
        <v>44561</v>
      </c>
    </row>
    <row r="26" spans="1:52" ht="12.75" hidden="1" outlineLevel="1">
      <c r="A26" s="394">
        <v>13010</v>
      </c>
      <c r="B26" s="394" t="s">
        <v>616</v>
      </c>
      <c r="C26" s="394" t="s">
        <v>910</v>
      </c>
      <c r="D26" s="395">
        <v>1</v>
      </c>
      <c r="F26" s="349" t="s">
        <v>628</v>
      </c>
      <c r="G26" s="350">
        <v>5162.67</v>
      </c>
      <c r="H26" s="351">
        <v>2949.55</v>
      </c>
      <c r="I26" s="352">
        <v>75.03246257903747</v>
      </c>
      <c r="J26" s="350">
        <v>-8038.2699999999995</v>
      </c>
      <c r="K26" s="353">
        <v>-155.69986073097834</v>
      </c>
      <c r="L26" s="350">
        <v>3392.0800000000004</v>
      </c>
      <c r="M26" s="352">
        <v>115.00330558898817</v>
      </c>
      <c r="N26" s="350">
        <v>-6839.389999999999</v>
      </c>
      <c r="O26" s="352">
        <v>-132.4777682865649</v>
      </c>
      <c r="P26" s="350">
        <v>-11430.35</v>
      </c>
      <c r="Q26" s="351">
        <v>2545.161156651014</v>
      </c>
      <c r="R26" s="354">
        <v>-13975.511156651013</v>
      </c>
      <c r="S26" s="350">
        <v>0</v>
      </c>
      <c r="T26" s="352">
        <v>0</v>
      </c>
      <c r="U26" s="351">
        <v>1198.88</v>
      </c>
      <c r="V26" s="352">
        <v>23.222092444413455</v>
      </c>
      <c r="W26" s="350">
        <v>6300</v>
      </c>
      <c r="X26" s="351">
        <v>-6480.29</v>
      </c>
      <c r="Y26" s="369">
        <v>37.82926276519708</v>
      </c>
      <c r="Z26" s="398">
        <v>44926</v>
      </c>
      <c r="AF26" s="381" t="s">
        <v>628</v>
      </c>
      <c r="AG26" s="355">
        <v>51289.04</v>
      </c>
      <c r="AH26" s="351">
        <v>10713.93</v>
      </c>
      <c r="AI26" s="356">
        <v>378.7135999581852</v>
      </c>
      <c r="AJ26" s="355">
        <v>-12117.1</v>
      </c>
      <c r="AK26" s="353">
        <v>-23.625125367914862</v>
      </c>
      <c r="AL26" s="355">
        <v>8973.46</v>
      </c>
      <c r="AM26" s="356">
        <v>83.75507400179018</v>
      </c>
      <c r="AN26" s="355">
        <v>30138.36</v>
      </c>
      <c r="AO26" s="356">
        <v>58.76179394272148</v>
      </c>
      <c r="AP26" s="355">
        <v>-21090.559999999998</v>
      </c>
      <c r="AQ26" s="351">
        <v>33983.71340680777</v>
      </c>
      <c r="AR26" s="357">
        <v>-55074.27340680777</v>
      </c>
      <c r="AS26" s="355">
        <v>0</v>
      </c>
      <c r="AT26" s="356">
        <v>0</v>
      </c>
      <c r="AU26" s="351">
        <v>42255.46</v>
      </c>
      <c r="AV26" s="356">
        <v>82.38691931063634</v>
      </c>
      <c r="AW26" s="355">
        <v>6300</v>
      </c>
      <c r="AX26" s="351">
        <v>-1700</v>
      </c>
      <c r="AY26" s="369">
        <v>44.834140003400336</v>
      </c>
      <c r="AZ26" s="399">
        <v>44926</v>
      </c>
    </row>
    <row r="27" spans="1:52" ht="12.75" hidden="1" outlineLevel="1">
      <c r="A27" s="394">
        <v>13011</v>
      </c>
      <c r="B27" s="394" t="s">
        <v>616</v>
      </c>
      <c r="C27" s="394" t="s">
        <v>910</v>
      </c>
      <c r="D27" s="395">
        <v>1</v>
      </c>
      <c r="F27" s="349" t="s">
        <v>629</v>
      </c>
      <c r="G27" s="350">
        <v>21364.01</v>
      </c>
      <c r="H27" s="351">
        <v>11152.54</v>
      </c>
      <c r="I27" s="352">
        <v>91.56183255114976</v>
      </c>
      <c r="J27" s="350">
        <v>24792.559999999998</v>
      </c>
      <c r="K27" s="353">
        <v>116.04825124122299</v>
      </c>
      <c r="L27" s="350">
        <v>13709.11</v>
      </c>
      <c r="M27" s="352">
        <v>122.92365685305768</v>
      </c>
      <c r="N27" s="350">
        <v>24792.559999999998</v>
      </c>
      <c r="O27" s="352">
        <v>116.04825124122299</v>
      </c>
      <c r="P27" s="350">
        <v>11083.449999999997</v>
      </c>
      <c r="Q27" s="351">
        <v>12552.312342452926</v>
      </c>
      <c r="R27" s="354">
        <v>-1468.8623424529278</v>
      </c>
      <c r="S27" s="350">
        <v>0</v>
      </c>
      <c r="T27" s="352">
        <v>0</v>
      </c>
      <c r="U27" s="351">
        <v>0</v>
      </c>
      <c r="V27" s="352">
        <v>0</v>
      </c>
      <c r="W27" s="350">
        <v>0</v>
      </c>
      <c r="X27" s="351">
        <v>4364.75</v>
      </c>
      <c r="Y27" s="369">
        <v>0</v>
      </c>
      <c r="Z27" s="398">
        <v>44926</v>
      </c>
      <c r="AF27" s="381" t="s">
        <v>629</v>
      </c>
      <c r="AG27" s="355">
        <v>53289.56</v>
      </c>
      <c r="AH27" s="351">
        <v>22219.6</v>
      </c>
      <c r="AI27" s="356">
        <v>139.8313200957713</v>
      </c>
      <c r="AJ27" s="355">
        <v>47025.96</v>
      </c>
      <c r="AK27" s="353">
        <v>88.24610298902824</v>
      </c>
      <c r="AL27" s="355">
        <v>22219.6</v>
      </c>
      <c r="AM27" s="356">
        <v>100</v>
      </c>
      <c r="AN27" s="355">
        <v>37152.43</v>
      </c>
      <c r="AO27" s="356">
        <v>69.71802732092365</v>
      </c>
      <c r="AP27" s="355">
        <v>24806.36</v>
      </c>
      <c r="AQ27" s="351">
        <v>31069.96</v>
      </c>
      <c r="AR27" s="357">
        <v>-6263.599999999996</v>
      </c>
      <c r="AS27" s="355">
        <v>0</v>
      </c>
      <c r="AT27" s="356">
        <v>0</v>
      </c>
      <c r="AU27" s="351">
        <v>-9873.529999999999</v>
      </c>
      <c r="AV27" s="356">
        <v>-18.528075668104595</v>
      </c>
      <c r="AW27" s="355">
        <v>0</v>
      </c>
      <c r="AX27" s="351">
        <v>0</v>
      </c>
      <c r="AY27" s="369">
        <v>0</v>
      </c>
      <c r="AZ27" s="399">
        <v>44926</v>
      </c>
    </row>
    <row r="28" spans="1:52" ht="12.75" hidden="1" outlineLevel="1">
      <c r="A28" s="394">
        <v>13012</v>
      </c>
      <c r="B28" s="394" t="s">
        <v>616</v>
      </c>
      <c r="C28" s="394" t="s">
        <v>910</v>
      </c>
      <c r="D28" s="395">
        <v>1</v>
      </c>
      <c r="F28" s="349" t="s">
        <v>630</v>
      </c>
      <c r="G28" s="350">
        <v>91.3</v>
      </c>
      <c r="H28" s="351">
        <v>250.45</v>
      </c>
      <c r="I28" s="352">
        <v>-63.54561788780195</v>
      </c>
      <c r="J28" s="350">
        <v>157.73000000000002</v>
      </c>
      <c r="K28" s="353">
        <v>172.76013143483024</v>
      </c>
      <c r="L28" s="350">
        <v>1066.64</v>
      </c>
      <c r="M28" s="352">
        <v>425.8893990816531</v>
      </c>
      <c r="N28" s="350">
        <v>157.73000000000002</v>
      </c>
      <c r="O28" s="352">
        <v>172.76013143483024</v>
      </c>
      <c r="P28" s="350">
        <v>-908.9100000000001</v>
      </c>
      <c r="Q28" s="351">
        <v>-677.8029786384508</v>
      </c>
      <c r="R28" s="354">
        <v>-231.1070213615492</v>
      </c>
      <c r="S28" s="350">
        <v>0</v>
      </c>
      <c r="T28" s="352">
        <v>0</v>
      </c>
      <c r="U28" s="351">
        <v>0</v>
      </c>
      <c r="V28" s="352">
        <v>0</v>
      </c>
      <c r="W28" s="350">
        <v>1000</v>
      </c>
      <c r="X28" s="351">
        <v>66.43</v>
      </c>
      <c r="Y28" s="369">
        <v>339.539978094195</v>
      </c>
      <c r="Z28" s="398">
        <v>44926</v>
      </c>
      <c r="AF28" s="381" t="s">
        <v>630</v>
      </c>
      <c r="AG28" s="355">
        <v>897.38</v>
      </c>
      <c r="AH28" s="351">
        <v>320.02</v>
      </c>
      <c r="AI28" s="356">
        <v>180.41372414224114</v>
      </c>
      <c r="AJ28" s="355">
        <v>1002.87</v>
      </c>
      <c r="AK28" s="353">
        <v>111.75533218926208</v>
      </c>
      <c r="AL28" s="355">
        <v>1120.02</v>
      </c>
      <c r="AM28" s="356">
        <v>349.9843759765015</v>
      </c>
      <c r="AN28" s="355">
        <v>787.49</v>
      </c>
      <c r="AO28" s="356">
        <v>87.7543515567541</v>
      </c>
      <c r="AP28" s="355">
        <v>-117.14999999999998</v>
      </c>
      <c r="AQ28" s="351">
        <v>2020.669793137929</v>
      </c>
      <c r="AR28" s="357">
        <v>-2137.8197931379286</v>
      </c>
      <c r="AS28" s="355">
        <v>0</v>
      </c>
      <c r="AT28" s="356">
        <v>0</v>
      </c>
      <c r="AU28" s="351">
        <v>-215.38</v>
      </c>
      <c r="AV28" s="356">
        <v>-24.000980632507968</v>
      </c>
      <c r="AW28" s="355">
        <v>1000</v>
      </c>
      <c r="AX28" s="351">
        <v>200</v>
      </c>
      <c r="AY28" s="369">
        <v>406.73961978203215</v>
      </c>
      <c r="AZ28" s="399">
        <v>44926</v>
      </c>
    </row>
    <row r="29" spans="1:52" ht="12.75" collapsed="1">
      <c r="A29" s="394">
        <v>130</v>
      </c>
      <c r="B29" s="394" t="s">
        <v>627</v>
      </c>
      <c r="C29" s="394" t="s">
        <v>910</v>
      </c>
      <c r="D29" s="395">
        <v>2</v>
      </c>
      <c r="F29" s="349" t="s">
        <v>511</v>
      </c>
      <c r="G29" s="350">
        <v>26617.98</v>
      </c>
      <c r="H29" s="351">
        <v>14352.54</v>
      </c>
      <c r="I29" s="352">
        <v>85.45832305640673</v>
      </c>
      <c r="J29" s="350">
        <v>16912.02</v>
      </c>
      <c r="K29" s="353">
        <v>63.536075990740095</v>
      </c>
      <c r="L29" s="350">
        <v>12036.28</v>
      </c>
      <c r="M29" s="352">
        <v>83.86167187132033</v>
      </c>
      <c r="N29" s="350">
        <v>18110.9</v>
      </c>
      <c r="O29" s="352">
        <v>68.04009921113474</v>
      </c>
      <c r="P29" s="350">
        <v>4875.74</v>
      </c>
      <c r="Q29" s="351">
        <v>10286.003046373673</v>
      </c>
      <c r="R29" s="354">
        <v>-5410.263046373675</v>
      </c>
      <c r="S29" s="350">
        <v>0</v>
      </c>
      <c r="T29" s="352">
        <v>0</v>
      </c>
      <c r="U29" s="351">
        <v>1198.880000000001</v>
      </c>
      <c r="V29" s="352">
        <v>4.5040232203946395</v>
      </c>
      <c r="W29" s="350">
        <v>7300</v>
      </c>
      <c r="X29" s="351">
        <v>-2049.11</v>
      </c>
      <c r="Y29" s="369">
        <v>8.501772110430618</v>
      </c>
      <c r="Z29" s="398">
        <v>44561</v>
      </c>
      <c r="AF29" s="381" t="s">
        <v>511</v>
      </c>
      <c r="AG29" s="355">
        <v>105475.98000000001</v>
      </c>
      <c r="AH29" s="351">
        <v>111944.75</v>
      </c>
      <c r="AI29" s="356">
        <v>-5.778538073469269</v>
      </c>
      <c r="AJ29" s="355">
        <v>35911.73000000001</v>
      </c>
      <c r="AK29" s="353">
        <v>34.04730631561802</v>
      </c>
      <c r="AL29" s="355">
        <v>58112.880000000005</v>
      </c>
      <c r="AM29" s="356">
        <v>51.91210842848816</v>
      </c>
      <c r="AN29" s="355">
        <v>68078.28000000001</v>
      </c>
      <c r="AO29" s="356">
        <v>64.54387055706901</v>
      </c>
      <c r="AP29" s="355">
        <v>-22201.149999999994</v>
      </c>
      <c r="AQ29" s="351">
        <v>-3358.0748963895085</v>
      </c>
      <c r="AR29" s="357">
        <v>-18843.075103610492</v>
      </c>
      <c r="AS29" s="355">
        <v>0</v>
      </c>
      <c r="AT29" s="356">
        <v>0</v>
      </c>
      <c r="AU29" s="351">
        <v>32166.550000000003</v>
      </c>
      <c r="AV29" s="356">
        <v>30.496564241450994</v>
      </c>
      <c r="AW29" s="355">
        <v>7300</v>
      </c>
      <c r="AX29" s="351">
        <v>-1500</v>
      </c>
      <c r="AY29" s="369">
        <v>25.261675691470227</v>
      </c>
      <c r="AZ29" s="399">
        <v>44561</v>
      </c>
    </row>
    <row r="30" spans="1:52" ht="12.75" hidden="1" outlineLevel="1">
      <c r="A30" s="394">
        <v>2501</v>
      </c>
      <c r="B30" s="394" t="s">
        <v>616</v>
      </c>
      <c r="C30" s="394" t="s">
        <v>910</v>
      </c>
      <c r="D30" s="395">
        <v>1</v>
      </c>
      <c r="F30" s="349" t="s">
        <v>528</v>
      </c>
      <c r="G30" s="350">
        <v>0</v>
      </c>
      <c r="H30" s="351">
        <v>0</v>
      </c>
      <c r="I30" s="352">
        <v>0</v>
      </c>
      <c r="J30" s="350">
        <v>0</v>
      </c>
      <c r="K30" s="353">
        <v>0</v>
      </c>
      <c r="L30" s="350">
        <v>-3537.94</v>
      </c>
      <c r="M30" s="352">
        <v>0</v>
      </c>
      <c r="N30" s="350">
        <v>0</v>
      </c>
      <c r="O30" s="352">
        <v>0</v>
      </c>
      <c r="P30" s="350">
        <v>3537.94</v>
      </c>
      <c r="Q30" s="351">
        <v>0</v>
      </c>
      <c r="R30" s="354">
        <v>0</v>
      </c>
      <c r="S30" s="350">
        <v>0</v>
      </c>
      <c r="T30" s="352">
        <v>0</v>
      </c>
      <c r="U30" s="351">
        <v>0</v>
      </c>
      <c r="V30" s="352">
        <v>0</v>
      </c>
      <c r="W30" s="350">
        <v>0</v>
      </c>
      <c r="X30" s="351">
        <v>0</v>
      </c>
      <c r="Y30" s="369">
        <v>0</v>
      </c>
      <c r="Z30" s="398">
        <v>44561</v>
      </c>
      <c r="AF30" s="381" t="s">
        <v>528</v>
      </c>
      <c r="AG30" s="355">
        <v>0</v>
      </c>
      <c r="AH30" s="351">
        <v>443838.57</v>
      </c>
      <c r="AI30" s="356">
        <v>-100</v>
      </c>
      <c r="AJ30" s="355">
        <v>0</v>
      </c>
      <c r="AK30" s="353">
        <v>0</v>
      </c>
      <c r="AL30" s="355">
        <v>159785.16000000003</v>
      </c>
      <c r="AM30" s="356">
        <v>36.000737835830726</v>
      </c>
      <c r="AN30" s="355">
        <v>0</v>
      </c>
      <c r="AO30" s="356">
        <v>0</v>
      </c>
      <c r="AP30" s="355">
        <v>-159785.16000000003</v>
      </c>
      <c r="AQ30" s="351">
        <v>-159785.16000000003</v>
      </c>
      <c r="AR30" s="357">
        <v>0</v>
      </c>
      <c r="AS30" s="355">
        <v>0</v>
      </c>
      <c r="AT30" s="356">
        <v>0</v>
      </c>
      <c r="AU30" s="351">
        <v>0</v>
      </c>
      <c r="AV30" s="356">
        <v>0</v>
      </c>
      <c r="AW30" s="355">
        <v>0</v>
      </c>
      <c r="AX30" s="351">
        <v>0</v>
      </c>
      <c r="AY30" s="369">
        <v>0</v>
      </c>
      <c r="AZ30" s="399">
        <v>44561</v>
      </c>
    </row>
    <row r="31" spans="1:52" ht="12.75" hidden="1" outlineLevel="1">
      <c r="A31" s="394">
        <v>2502</v>
      </c>
      <c r="B31" s="394" t="s">
        <v>616</v>
      </c>
      <c r="C31" s="394" t="s">
        <v>910</v>
      </c>
      <c r="D31" s="395">
        <v>1</v>
      </c>
      <c r="F31" s="349" t="s">
        <v>1610</v>
      </c>
      <c r="G31" s="350">
        <v>0</v>
      </c>
      <c r="H31" s="351">
        <v>0</v>
      </c>
      <c r="I31" s="352">
        <v>0</v>
      </c>
      <c r="J31" s="350">
        <v>0</v>
      </c>
      <c r="K31" s="353">
        <v>0</v>
      </c>
      <c r="L31" s="350">
        <v>-11690.83</v>
      </c>
      <c r="M31" s="352">
        <v>0</v>
      </c>
      <c r="N31" s="350">
        <v>0</v>
      </c>
      <c r="O31" s="352">
        <v>0</v>
      </c>
      <c r="P31" s="350">
        <v>11690.83</v>
      </c>
      <c r="Q31" s="351">
        <v>0</v>
      </c>
      <c r="R31" s="354">
        <v>0</v>
      </c>
      <c r="S31" s="350">
        <v>0</v>
      </c>
      <c r="T31" s="352">
        <v>0</v>
      </c>
      <c r="U31" s="351">
        <v>0</v>
      </c>
      <c r="V31" s="352">
        <v>0</v>
      </c>
      <c r="W31" s="350">
        <v>0</v>
      </c>
      <c r="X31" s="351">
        <v>0</v>
      </c>
      <c r="Y31" s="369">
        <v>0</v>
      </c>
      <c r="Z31" s="398">
        <v>44561</v>
      </c>
      <c r="AF31" s="381" t="s">
        <v>1610</v>
      </c>
      <c r="AG31" s="355">
        <v>0</v>
      </c>
      <c r="AH31" s="351">
        <v>56177.35</v>
      </c>
      <c r="AI31" s="356">
        <v>-100</v>
      </c>
      <c r="AJ31" s="355">
        <v>0</v>
      </c>
      <c r="AK31" s="353">
        <v>0</v>
      </c>
      <c r="AL31" s="355">
        <v>11212.330000000002</v>
      </c>
      <c r="AM31" s="356">
        <v>19.958809021785473</v>
      </c>
      <c r="AN31" s="355">
        <v>0</v>
      </c>
      <c r="AO31" s="356">
        <v>0</v>
      </c>
      <c r="AP31" s="355">
        <v>-11212.330000000002</v>
      </c>
      <c r="AQ31" s="351">
        <v>-11212.330000000002</v>
      </c>
      <c r="AR31" s="357">
        <v>0</v>
      </c>
      <c r="AS31" s="355">
        <v>0</v>
      </c>
      <c r="AT31" s="356">
        <v>0</v>
      </c>
      <c r="AU31" s="351">
        <v>0</v>
      </c>
      <c r="AV31" s="356">
        <v>0</v>
      </c>
      <c r="AW31" s="355">
        <v>0</v>
      </c>
      <c r="AX31" s="351">
        <v>0</v>
      </c>
      <c r="AY31" s="369">
        <v>0</v>
      </c>
      <c r="AZ31" s="399">
        <v>44561</v>
      </c>
    </row>
    <row r="32" spans="1:52" ht="12.75" hidden="1" outlineLevel="1">
      <c r="A32" s="394">
        <v>2503</v>
      </c>
      <c r="B32" s="394" t="s">
        <v>616</v>
      </c>
      <c r="C32" s="394" t="s">
        <v>910</v>
      </c>
      <c r="D32" s="395">
        <v>1</v>
      </c>
      <c r="F32" s="349" t="s">
        <v>1611</v>
      </c>
      <c r="G32" s="350">
        <v>0</v>
      </c>
      <c r="H32" s="351">
        <v>0</v>
      </c>
      <c r="I32" s="352">
        <v>0</v>
      </c>
      <c r="J32" s="350">
        <v>0</v>
      </c>
      <c r="K32" s="353">
        <v>0</v>
      </c>
      <c r="L32" s="350">
        <v>16867.51</v>
      </c>
      <c r="M32" s="352">
        <v>0</v>
      </c>
      <c r="N32" s="350">
        <v>0</v>
      </c>
      <c r="O32" s="352">
        <v>0</v>
      </c>
      <c r="P32" s="350">
        <v>-16867.51</v>
      </c>
      <c r="Q32" s="351">
        <v>0</v>
      </c>
      <c r="R32" s="354">
        <v>0</v>
      </c>
      <c r="S32" s="350">
        <v>0</v>
      </c>
      <c r="T32" s="352">
        <v>0</v>
      </c>
      <c r="U32" s="351">
        <v>0</v>
      </c>
      <c r="V32" s="352">
        <v>0</v>
      </c>
      <c r="W32" s="350">
        <v>0</v>
      </c>
      <c r="X32" s="351">
        <v>0</v>
      </c>
      <c r="Y32" s="369">
        <v>0</v>
      </c>
      <c r="Z32" s="398">
        <v>44561</v>
      </c>
      <c r="AF32" s="381" t="s">
        <v>1611</v>
      </c>
      <c r="AG32" s="355">
        <v>0</v>
      </c>
      <c r="AH32" s="351">
        <v>28452.09</v>
      </c>
      <c r="AI32" s="356">
        <v>-100</v>
      </c>
      <c r="AJ32" s="355">
        <v>0</v>
      </c>
      <c r="AK32" s="353">
        <v>0</v>
      </c>
      <c r="AL32" s="355">
        <v>28452.09</v>
      </c>
      <c r="AM32" s="356">
        <v>100</v>
      </c>
      <c r="AN32" s="355">
        <v>0</v>
      </c>
      <c r="AO32" s="356">
        <v>0</v>
      </c>
      <c r="AP32" s="355">
        <v>-28452.09</v>
      </c>
      <c r="AQ32" s="351">
        <v>-28452.09</v>
      </c>
      <c r="AR32" s="357">
        <v>0</v>
      </c>
      <c r="AS32" s="355">
        <v>0</v>
      </c>
      <c r="AT32" s="356">
        <v>0</v>
      </c>
      <c r="AU32" s="351">
        <v>0</v>
      </c>
      <c r="AV32" s="356">
        <v>0</v>
      </c>
      <c r="AW32" s="355">
        <v>0</v>
      </c>
      <c r="AX32" s="351">
        <v>0</v>
      </c>
      <c r="AY32" s="369">
        <v>0</v>
      </c>
      <c r="AZ32" s="399">
        <v>44561</v>
      </c>
    </row>
    <row r="33" spans="1:52" ht="12.75" hidden="1" outlineLevel="1">
      <c r="A33" s="394">
        <v>2504</v>
      </c>
      <c r="B33" s="394" t="s">
        <v>616</v>
      </c>
      <c r="C33" s="394" t="s">
        <v>910</v>
      </c>
      <c r="D33" s="395">
        <v>1</v>
      </c>
      <c r="F33" s="349" t="s">
        <v>1612</v>
      </c>
      <c r="G33" s="350">
        <v>0</v>
      </c>
      <c r="H33" s="351">
        <v>0</v>
      </c>
      <c r="I33" s="352">
        <v>0</v>
      </c>
      <c r="J33" s="350">
        <v>0</v>
      </c>
      <c r="K33" s="353">
        <v>0</v>
      </c>
      <c r="L33" s="350">
        <v>4576.48</v>
      </c>
      <c r="M33" s="352">
        <v>0</v>
      </c>
      <c r="N33" s="350">
        <v>0</v>
      </c>
      <c r="O33" s="352">
        <v>0</v>
      </c>
      <c r="P33" s="350">
        <v>-4576.48</v>
      </c>
      <c r="Q33" s="351">
        <v>0</v>
      </c>
      <c r="R33" s="354">
        <v>0</v>
      </c>
      <c r="S33" s="350">
        <v>0</v>
      </c>
      <c r="T33" s="352">
        <v>0</v>
      </c>
      <c r="U33" s="351">
        <v>0</v>
      </c>
      <c r="V33" s="352">
        <v>0</v>
      </c>
      <c r="W33" s="350">
        <v>0</v>
      </c>
      <c r="X33" s="351">
        <v>0</v>
      </c>
      <c r="Y33" s="369">
        <v>0</v>
      </c>
      <c r="Z33" s="398">
        <v>44561</v>
      </c>
      <c r="AF33" s="381" t="s">
        <v>1612</v>
      </c>
      <c r="AG33" s="355">
        <v>0</v>
      </c>
      <c r="AH33" s="351">
        <v>190824.46</v>
      </c>
      <c r="AI33" s="356">
        <v>-100</v>
      </c>
      <c r="AJ33" s="355">
        <v>0</v>
      </c>
      <c r="AK33" s="353">
        <v>0</v>
      </c>
      <c r="AL33" s="355">
        <v>82814.74999999999</v>
      </c>
      <c r="AM33" s="356">
        <v>43.39839347639185</v>
      </c>
      <c r="AN33" s="355">
        <v>0</v>
      </c>
      <c r="AO33" s="356">
        <v>0</v>
      </c>
      <c r="AP33" s="355">
        <v>-82814.74999999999</v>
      </c>
      <c r="AQ33" s="351">
        <v>-82814.74999999999</v>
      </c>
      <c r="AR33" s="357">
        <v>0</v>
      </c>
      <c r="AS33" s="355">
        <v>0</v>
      </c>
      <c r="AT33" s="356">
        <v>0</v>
      </c>
      <c r="AU33" s="351">
        <v>0</v>
      </c>
      <c r="AV33" s="356">
        <v>0</v>
      </c>
      <c r="AW33" s="355">
        <v>0</v>
      </c>
      <c r="AX33" s="351">
        <v>0</v>
      </c>
      <c r="AY33" s="369">
        <v>0</v>
      </c>
      <c r="AZ33" s="399">
        <v>44561</v>
      </c>
    </row>
    <row r="34" spans="1:52" ht="12.75" hidden="1" outlineLevel="1">
      <c r="A34" s="394">
        <v>2505</v>
      </c>
      <c r="B34" s="394" t="s">
        <v>616</v>
      </c>
      <c r="C34" s="394" t="s">
        <v>910</v>
      </c>
      <c r="D34" s="395">
        <v>1</v>
      </c>
      <c r="F34" s="349" t="s">
        <v>1613</v>
      </c>
      <c r="G34" s="350">
        <v>0</v>
      </c>
      <c r="H34" s="351">
        <v>0</v>
      </c>
      <c r="I34" s="352">
        <v>0</v>
      </c>
      <c r="J34" s="350">
        <v>0</v>
      </c>
      <c r="K34" s="353">
        <v>0</v>
      </c>
      <c r="L34" s="350">
        <v>2159.74</v>
      </c>
      <c r="M34" s="352">
        <v>0</v>
      </c>
      <c r="N34" s="350">
        <v>0</v>
      </c>
      <c r="O34" s="352">
        <v>0</v>
      </c>
      <c r="P34" s="350">
        <v>-2159.74</v>
      </c>
      <c r="Q34" s="351">
        <v>0</v>
      </c>
      <c r="R34" s="354">
        <v>0</v>
      </c>
      <c r="S34" s="350">
        <v>0</v>
      </c>
      <c r="T34" s="352">
        <v>0</v>
      </c>
      <c r="U34" s="351">
        <v>0</v>
      </c>
      <c r="V34" s="352">
        <v>0</v>
      </c>
      <c r="W34" s="350">
        <v>0</v>
      </c>
      <c r="X34" s="351">
        <v>0</v>
      </c>
      <c r="Y34" s="369">
        <v>0</v>
      </c>
      <c r="Z34" s="398">
        <v>44561</v>
      </c>
      <c r="AF34" s="381" t="s">
        <v>1613</v>
      </c>
      <c r="AG34" s="355">
        <v>0</v>
      </c>
      <c r="AH34" s="351">
        <v>12463.12</v>
      </c>
      <c r="AI34" s="356">
        <v>-100</v>
      </c>
      <c r="AJ34" s="355">
        <v>0</v>
      </c>
      <c r="AK34" s="353">
        <v>0</v>
      </c>
      <c r="AL34" s="355">
        <v>7087.410000000001</v>
      </c>
      <c r="AM34" s="356">
        <v>56.867060575522025</v>
      </c>
      <c r="AN34" s="355">
        <v>0</v>
      </c>
      <c r="AO34" s="356">
        <v>0</v>
      </c>
      <c r="AP34" s="355">
        <v>-7087.410000000001</v>
      </c>
      <c r="AQ34" s="351">
        <v>-7087.410000000001</v>
      </c>
      <c r="AR34" s="357">
        <v>0</v>
      </c>
      <c r="AS34" s="355">
        <v>0</v>
      </c>
      <c r="AT34" s="356">
        <v>0</v>
      </c>
      <c r="AU34" s="351">
        <v>0</v>
      </c>
      <c r="AV34" s="356">
        <v>0</v>
      </c>
      <c r="AW34" s="355">
        <v>0</v>
      </c>
      <c r="AX34" s="351">
        <v>0</v>
      </c>
      <c r="AY34" s="369">
        <v>0</v>
      </c>
      <c r="AZ34" s="399">
        <v>44561</v>
      </c>
    </row>
    <row r="35" spans="1:52" ht="12.75" hidden="1" outlineLevel="1">
      <c r="A35" s="394">
        <v>2507</v>
      </c>
      <c r="B35" s="394" t="s">
        <v>616</v>
      </c>
      <c r="C35" s="394" t="s">
        <v>910</v>
      </c>
      <c r="D35" s="395">
        <v>1</v>
      </c>
      <c r="F35" s="349" t="s">
        <v>1614</v>
      </c>
      <c r="G35" s="350">
        <v>0</v>
      </c>
      <c r="H35" s="351">
        <v>0</v>
      </c>
      <c r="I35" s="352">
        <v>0</v>
      </c>
      <c r="J35" s="350">
        <v>0</v>
      </c>
      <c r="K35" s="353">
        <v>0</v>
      </c>
      <c r="L35" s="350">
        <v>-15092.96</v>
      </c>
      <c r="M35" s="352">
        <v>0</v>
      </c>
      <c r="N35" s="350">
        <v>0</v>
      </c>
      <c r="O35" s="352">
        <v>0</v>
      </c>
      <c r="P35" s="350">
        <v>15092.96</v>
      </c>
      <c r="Q35" s="351">
        <v>0</v>
      </c>
      <c r="R35" s="354">
        <v>0</v>
      </c>
      <c r="S35" s="350">
        <v>0</v>
      </c>
      <c r="T35" s="352">
        <v>0</v>
      </c>
      <c r="U35" s="351">
        <v>0</v>
      </c>
      <c r="V35" s="352">
        <v>0</v>
      </c>
      <c r="W35" s="350">
        <v>0</v>
      </c>
      <c r="X35" s="351">
        <v>0</v>
      </c>
      <c r="Y35" s="369">
        <v>0</v>
      </c>
      <c r="Z35" s="398">
        <v>44561</v>
      </c>
      <c r="AF35" s="381" t="s">
        <v>1614</v>
      </c>
      <c r="AG35" s="355">
        <v>0</v>
      </c>
      <c r="AH35" s="351">
        <v>0</v>
      </c>
      <c r="AI35" s="356">
        <v>0</v>
      </c>
      <c r="AJ35" s="355">
        <v>0</v>
      </c>
      <c r="AK35" s="353">
        <v>0</v>
      </c>
      <c r="AL35" s="355">
        <v>-15092.96</v>
      </c>
      <c r="AM35" s="356">
        <v>0</v>
      </c>
      <c r="AN35" s="355">
        <v>0</v>
      </c>
      <c r="AO35" s="356">
        <v>0</v>
      </c>
      <c r="AP35" s="355">
        <v>15092.96</v>
      </c>
      <c r="AQ35" s="351">
        <v>0</v>
      </c>
      <c r="AR35" s="357">
        <v>0</v>
      </c>
      <c r="AS35" s="355">
        <v>0</v>
      </c>
      <c r="AT35" s="356">
        <v>0</v>
      </c>
      <c r="AU35" s="351">
        <v>0</v>
      </c>
      <c r="AV35" s="356">
        <v>0</v>
      </c>
      <c r="AW35" s="355">
        <v>0</v>
      </c>
      <c r="AX35" s="351">
        <v>0</v>
      </c>
      <c r="AY35" s="369">
        <v>0</v>
      </c>
      <c r="AZ35" s="399">
        <v>44561</v>
      </c>
    </row>
    <row r="36" spans="1:52" ht="12.75" hidden="1" outlineLevel="1">
      <c r="A36" s="394">
        <v>14010</v>
      </c>
      <c r="B36" s="394" t="s">
        <v>616</v>
      </c>
      <c r="C36" s="394" t="s">
        <v>910</v>
      </c>
      <c r="D36" s="395">
        <v>1</v>
      </c>
      <c r="F36" s="349" t="s">
        <v>631</v>
      </c>
      <c r="G36" s="350">
        <v>23421.36</v>
      </c>
      <c r="H36" s="351">
        <v>24124.8</v>
      </c>
      <c r="I36" s="352">
        <v>-2.915837644249895</v>
      </c>
      <c r="J36" s="350">
        <v>1308.9900000000016</v>
      </c>
      <c r="K36" s="353">
        <v>5.5888727213108105</v>
      </c>
      <c r="L36" s="350">
        <v>49350.17</v>
      </c>
      <c r="M36" s="352">
        <v>204.56198600610162</v>
      </c>
      <c r="N36" s="350">
        <v>1308.9900000000016</v>
      </c>
      <c r="O36" s="352">
        <v>5.5888727213108105</v>
      </c>
      <c r="P36" s="350">
        <v>-48041.17999999999</v>
      </c>
      <c r="Q36" s="351">
        <v>-1438.9708343613183</v>
      </c>
      <c r="R36" s="354">
        <v>-46602.20916563868</v>
      </c>
      <c r="S36" s="350">
        <v>0</v>
      </c>
      <c r="T36" s="352">
        <v>0</v>
      </c>
      <c r="U36" s="351">
        <v>0</v>
      </c>
      <c r="V36" s="352">
        <v>0</v>
      </c>
      <c r="W36" s="350">
        <v>21200</v>
      </c>
      <c r="X36" s="351">
        <v>-9938.07</v>
      </c>
      <c r="Y36" s="369">
        <v>28.05985647289483</v>
      </c>
      <c r="Z36" s="398">
        <v>44926</v>
      </c>
      <c r="AF36" s="381" t="s">
        <v>631</v>
      </c>
      <c r="AG36" s="355">
        <v>346418.3</v>
      </c>
      <c r="AH36" s="351">
        <v>79534.26</v>
      </c>
      <c r="AI36" s="356">
        <v>335.55858821091687</v>
      </c>
      <c r="AJ36" s="355">
        <v>158626.28999999998</v>
      </c>
      <c r="AK36" s="353">
        <v>45.79038982640351</v>
      </c>
      <c r="AL36" s="355">
        <v>74066.45</v>
      </c>
      <c r="AM36" s="356">
        <v>93.12521421586119</v>
      </c>
      <c r="AN36" s="355">
        <v>155217.88999999998</v>
      </c>
      <c r="AO36" s="356">
        <v>44.806492613121186</v>
      </c>
      <c r="AP36" s="355">
        <v>84559.83999999998</v>
      </c>
      <c r="AQ36" s="351">
        <v>248536.33395794465</v>
      </c>
      <c r="AR36" s="357">
        <v>-163976.49395794468</v>
      </c>
      <c r="AS36" s="355">
        <v>0</v>
      </c>
      <c r="AT36" s="356">
        <v>0</v>
      </c>
      <c r="AU36" s="351">
        <v>-3408.399999999994</v>
      </c>
      <c r="AV36" s="356">
        <v>-0.983897213282322</v>
      </c>
      <c r="AW36" s="355">
        <v>21200</v>
      </c>
      <c r="AX36" s="351">
        <v>-7700</v>
      </c>
      <c r="AY36" s="369">
        <v>22.33715713055575</v>
      </c>
      <c r="AZ36" s="399">
        <v>44926</v>
      </c>
    </row>
    <row r="37" spans="1:52" ht="12.75" hidden="1" outlineLevel="1">
      <c r="A37" s="394">
        <v>14011</v>
      </c>
      <c r="B37" s="394" t="s">
        <v>616</v>
      </c>
      <c r="C37" s="394" t="s">
        <v>910</v>
      </c>
      <c r="D37" s="395">
        <v>1</v>
      </c>
      <c r="F37" s="349" t="s">
        <v>632</v>
      </c>
      <c r="G37" s="350">
        <v>182.6</v>
      </c>
      <c r="H37" s="351">
        <v>86.1</v>
      </c>
      <c r="I37" s="352">
        <v>112.07897793263648</v>
      </c>
      <c r="J37" s="350">
        <v>-2114.04</v>
      </c>
      <c r="K37" s="353">
        <v>-1157.7437020810514</v>
      </c>
      <c r="L37" s="350">
        <v>99.53</v>
      </c>
      <c r="M37" s="352">
        <v>115.59814169570268</v>
      </c>
      <c r="N37" s="350">
        <v>-2114.04</v>
      </c>
      <c r="O37" s="352">
        <v>-1157.7437020810514</v>
      </c>
      <c r="P37" s="350">
        <v>-2213.57</v>
      </c>
      <c r="Q37" s="351">
        <v>111.55220673635309</v>
      </c>
      <c r="R37" s="354">
        <v>-2325.1222067363533</v>
      </c>
      <c r="S37" s="350">
        <v>0</v>
      </c>
      <c r="T37" s="352">
        <v>0</v>
      </c>
      <c r="U37" s="351">
        <v>0</v>
      </c>
      <c r="V37" s="352">
        <v>0</v>
      </c>
      <c r="W37" s="350">
        <v>0</v>
      </c>
      <c r="X37" s="351">
        <v>-2128.62</v>
      </c>
      <c r="Y37" s="369">
        <v>0</v>
      </c>
      <c r="Z37" s="398">
        <v>44926</v>
      </c>
      <c r="AF37" s="381" t="s">
        <v>632</v>
      </c>
      <c r="AG37" s="355">
        <v>2322.41</v>
      </c>
      <c r="AH37" s="351">
        <v>438.31</v>
      </c>
      <c r="AI37" s="356">
        <v>429.85558166594416</v>
      </c>
      <c r="AJ37" s="355">
        <v>1400.77</v>
      </c>
      <c r="AK37" s="353">
        <v>60.31536205924019</v>
      </c>
      <c r="AL37" s="355">
        <v>278.84000000000003</v>
      </c>
      <c r="AM37" s="356">
        <v>63.617074673176525</v>
      </c>
      <c r="AN37" s="355">
        <v>-941.0500000000002</v>
      </c>
      <c r="AO37" s="356">
        <v>-40.52040767995316</v>
      </c>
      <c r="AP37" s="355">
        <v>1121.9299999999998</v>
      </c>
      <c r="AQ37" s="351">
        <v>1198.6093039173188</v>
      </c>
      <c r="AR37" s="357">
        <v>-76.67930391731886</v>
      </c>
      <c r="AS37" s="355">
        <v>0</v>
      </c>
      <c r="AT37" s="356">
        <v>0</v>
      </c>
      <c r="AU37" s="351">
        <v>-2341.82</v>
      </c>
      <c r="AV37" s="356">
        <v>-100.83576973919335</v>
      </c>
      <c r="AW37" s="355">
        <v>0</v>
      </c>
      <c r="AX37" s="351">
        <v>0</v>
      </c>
      <c r="AY37" s="369">
        <v>0</v>
      </c>
      <c r="AZ37" s="399">
        <v>44926</v>
      </c>
    </row>
    <row r="38" spans="1:52" ht="12.75" hidden="1" outlineLevel="1">
      <c r="A38" s="394">
        <v>14012</v>
      </c>
      <c r="B38" s="394" t="s">
        <v>616</v>
      </c>
      <c r="C38" s="394" t="s">
        <v>910</v>
      </c>
      <c r="D38" s="395">
        <v>1</v>
      </c>
      <c r="F38" s="349" t="s">
        <v>633</v>
      </c>
      <c r="G38" s="350">
        <v>17678.25</v>
      </c>
      <c r="H38" s="351">
        <v>17124.31</v>
      </c>
      <c r="I38" s="352">
        <v>3.2348164685175553</v>
      </c>
      <c r="J38" s="350">
        <v>11557.060000000001</v>
      </c>
      <c r="K38" s="353">
        <v>65.37445731336531</v>
      </c>
      <c r="L38" s="350">
        <v>12388.5</v>
      </c>
      <c r="M38" s="352">
        <v>72.34452074273356</v>
      </c>
      <c r="N38" s="350">
        <v>11557.060000000001</v>
      </c>
      <c r="O38" s="352">
        <v>65.37445731336531</v>
      </c>
      <c r="P38" s="350">
        <v>-831.4399999999987</v>
      </c>
      <c r="Q38" s="351">
        <v>400.7452382022974</v>
      </c>
      <c r="R38" s="354">
        <v>-1232.1852382022976</v>
      </c>
      <c r="S38" s="350">
        <v>0</v>
      </c>
      <c r="T38" s="352">
        <v>0</v>
      </c>
      <c r="U38" s="351">
        <v>0</v>
      </c>
      <c r="V38" s="352">
        <v>0</v>
      </c>
      <c r="W38" s="350">
        <v>2600</v>
      </c>
      <c r="X38" s="351">
        <v>-1621.37</v>
      </c>
      <c r="Y38" s="369">
        <v>4.559274815097648</v>
      </c>
      <c r="Z38" s="398">
        <v>44926</v>
      </c>
      <c r="AF38" s="381" t="s">
        <v>633</v>
      </c>
      <c r="AG38" s="355">
        <v>225224.31</v>
      </c>
      <c r="AH38" s="351">
        <v>53501.61</v>
      </c>
      <c r="AI38" s="356">
        <v>320.96735032833595</v>
      </c>
      <c r="AJ38" s="355">
        <v>130950.37</v>
      </c>
      <c r="AK38" s="353">
        <v>58.142200546646144</v>
      </c>
      <c r="AL38" s="355">
        <v>31704.58</v>
      </c>
      <c r="AM38" s="356">
        <v>59.2591138846102</v>
      </c>
      <c r="AN38" s="355">
        <v>129812.65</v>
      </c>
      <c r="AO38" s="356">
        <v>57.637050813919686</v>
      </c>
      <c r="AP38" s="355">
        <v>99245.79</v>
      </c>
      <c r="AQ38" s="351">
        <v>101761.35035872753</v>
      </c>
      <c r="AR38" s="357">
        <v>-2515.5603587275336</v>
      </c>
      <c r="AS38" s="355">
        <v>0</v>
      </c>
      <c r="AT38" s="356">
        <v>0</v>
      </c>
      <c r="AU38" s="351">
        <v>-1137.7200000000012</v>
      </c>
      <c r="AV38" s="356">
        <v>-0.5051497327264545</v>
      </c>
      <c r="AW38" s="355">
        <v>2600</v>
      </c>
      <c r="AX38" s="351">
        <v>2600</v>
      </c>
      <c r="AY38" s="369">
        <v>4.213577122291994</v>
      </c>
      <c r="AZ38" s="399">
        <v>44926</v>
      </c>
    </row>
    <row r="39" spans="1:52" ht="12.75" hidden="1" outlineLevel="1">
      <c r="A39" s="394">
        <v>14013</v>
      </c>
      <c r="B39" s="394" t="s">
        <v>616</v>
      </c>
      <c r="C39" s="394" t="s">
        <v>910</v>
      </c>
      <c r="D39" s="395">
        <v>1</v>
      </c>
      <c r="F39" s="349" t="s">
        <v>634</v>
      </c>
      <c r="G39" s="350">
        <v>2395.85</v>
      </c>
      <c r="H39" s="351">
        <v>2175.33</v>
      </c>
      <c r="I39" s="352">
        <v>10.137312499712687</v>
      </c>
      <c r="J39" s="350">
        <v>116.73999999999978</v>
      </c>
      <c r="K39" s="353">
        <v>4.8725921906630125</v>
      </c>
      <c r="L39" s="350">
        <v>2478.0699999999997</v>
      </c>
      <c r="M39" s="352">
        <v>113.91696891965816</v>
      </c>
      <c r="N39" s="350">
        <v>116.73999999999978</v>
      </c>
      <c r="O39" s="352">
        <v>4.8725921906630125</v>
      </c>
      <c r="P39" s="350">
        <v>-2361.33</v>
      </c>
      <c r="Q39" s="351">
        <v>251.20969986163018</v>
      </c>
      <c r="R39" s="354">
        <v>-2612.5396998616307</v>
      </c>
      <c r="S39" s="350">
        <v>0</v>
      </c>
      <c r="T39" s="352">
        <v>0</v>
      </c>
      <c r="U39" s="351">
        <v>0</v>
      </c>
      <c r="V39" s="352">
        <v>0</v>
      </c>
      <c r="W39" s="350">
        <v>0</v>
      </c>
      <c r="X39" s="351">
        <v>-1535.35</v>
      </c>
      <c r="Y39" s="369">
        <v>0</v>
      </c>
      <c r="Z39" s="398">
        <v>44926</v>
      </c>
      <c r="AF39" s="381" t="s">
        <v>634</v>
      </c>
      <c r="AG39" s="355">
        <v>46049.6</v>
      </c>
      <c r="AH39" s="351">
        <v>9079.72</v>
      </c>
      <c r="AI39" s="356">
        <v>407.1698246201425</v>
      </c>
      <c r="AJ39" s="355">
        <v>17583.45</v>
      </c>
      <c r="AK39" s="353">
        <v>38.18371929397867</v>
      </c>
      <c r="AL39" s="355">
        <v>5859.299999999999</v>
      </c>
      <c r="AM39" s="356">
        <v>64.53172564792746</v>
      </c>
      <c r="AN39" s="355">
        <v>20426.18</v>
      </c>
      <c r="AO39" s="356">
        <v>44.35691080921441</v>
      </c>
      <c r="AP39" s="355">
        <v>11724.150000000001</v>
      </c>
      <c r="AQ39" s="351">
        <v>23857.301533968002</v>
      </c>
      <c r="AR39" s="357">
        <v>-12133.151533968003</v>
      </c>
      <c r="AS39" s="355">
        <v>0</v>
      </c>
      <c r="AT39" s="356">
        <v>0</v>
      </c>
      <c r="AU39" s="351">
        <v>2842.7299999999996</v>
      </c>
      <c r="AV39" s="356">
        <v>6.173191515235745</v>
      </c>
      <c r="AW39" s="355">
        <v>0</v>
      </c>
      <c r="AX39" s="351">
        <v>0</v>
      </c>
      <c r="AY39" s="369">
        <v>0</v>
      </c>
      <c r="AZ39" s="399">
        <v>44926</v>
      </c>
    </row>
    <row r="40" spans="1:52" ht="12.75" hidden="1" outlineLevel="1">
      <c r="A40" s="394">
        <v>14014</v>
      </c>
      <c r="B40" s="394" t="s">
        <v>616</v>
      </c>
      <c r="C40" s="394" t="s">
        <v>910</v>
      </c>
      <c r="D40" s="395">
        <v>1</v>
      </c>
      <c r="F40" s="349" t="s">
        <v>635</v>
      </c>
      <c r="G40" s="350">
        <v>7968.18</v>
      </c>
      <c r="H40" s="351">
        <v>8342.67</v>
      </c>
      <c r="I40" s="352">
        <v>-4.488850691685033</v>
      </c>
      <c r="J40" s="350">
        <v>3351.13</v>
      </c>
      <c r="K40" s="353">
        <v>42.056404348295345</v>
      </c>
      <c r="L40" s="350">
        <v>9831.72</v>
      </c>
      <c r="M40" s="352">
        <v>117.84860242584207</v>
      </c>
      <c r="N40" s="350">
        <v>3351.13</v>
      </c>
      <c r="O40" s="352">
        <v>42.056404348295345</v>
      </c>
      <c r="P40" s="350">
        <v>-6480.589999999999</v>
      </c>
      <c r="Q40" s="351">
        <v>-441.3312312245357</v>
      </c>
      <c r="R40" s="354">
        <v>-6039.258768775464</v>
      </c>
      <c r="S40" s="350">
        <v>0</v>
      </c>
      <c r="T40" s="352">
        <v>0</v>
      </c>
      <c r="U40" s="351">
        <v>0</v>
      </c>
      <c r="V40" s="352">
        <v>0</v>
      </c>
      <c r="W40" s="350">
        <v>300</v>
      </c>
      <c r="X40" s="351">
        <v>-674.75</v>
      </c>
      <c r="Y40" s="369">
        <v>1.1671423085321866</v>
      </c>
      <c r="Z40" s="398">
        <v>44926</v>
      </c>
      <c r="AF40" s="381" t="s">
        <v>635</v>
      </c>
      <c r="AG40" s="355">
        <v>140170.81</v>
      </c>
      <c r="AH40" s="351">
        <v>31387.46</v>
      </c>
      <c r="AI40" s="356">
        <v>346.58220193669706</v>
      </c>
      <c r="AJ40" s="355">
        <v>86645.09999999999</v>
      </c>
      <c r="AK40" s="353">
        <v>61.81393972111597</v>
      </c>
      <c r="AL40" s="355">
        <v>22274.96</v>
      </c>
      <c r="AM40" s="356">
        <v>70.96770493693978</v>
      </c>
      <c r="AN40" s="355">
        <v>76568.87</v>
      </c>
      <c r="AO40" s="356">
        <v>54.62540310639569</v>
      </c>
      <c r="AP40" s="355">
        <v>64370.13999999999</v>
      </c>
      <c r="AQ40" s="351">
        <v>77201.04684851848</v>
      </c>
      <c r="AR40" s="357">
        <v>-12830.906848518493</v>
      </c>
      <c r="AS40" s="355">
        <v>0</v>
      </c>
      <c r="AT40" s="356">
        <v>0</v>
      </c>
      <c r="AU40" s="351">
        <v>-10076.229999999996</v>
      </c>
      <c r="AV40" s="356">
        <v>-7.18853661472028</v>
      </c>
      <c r="AW40" s="355">
        <v>300</v>
      </c>
      <c r="AX40" s="351">
        <v>300</v>
      </c>
      <c r="AY40" s="369">
        <v>0.7811897498487738</v>
      </c>
      <c r="AZ40" s="399">
        <v>44926</v>
      </c>
    </row>
    <row r="41" spans="1:52" ht="12.75" collapsed="1">
      <c r="A41" s="394">
        <v>140</v>
      </c>
      <c r="B41" s="394" t="s">
        <v>627</v>
      </c>
      <c r="C41" s="394" t="s">
        <v>910</v>
      </c>
      <c r="D41" s="395">
        <v>2</v>
      </c>
      <c r="F41" s="349" t="s">
        <v>512</v>
      </c>
      <c r="G41" s="350">
        <v>51646.24</v>
      </c>
      <c r="H41" s="351">
        <v>51853.21</v>
      </c>
      <c r="I41" s="352">
        <v>-0.39914597379795996</v>
      </c>
      <c r="J41" s="350">
        <v>14219.880000000001</v>
      </c>
      <c r="K41" s="353">
        <v>27.533233784298723</v>
      </c>
      <c r="L41" s="350">
        <v>67429.98999999999</v>
      </c>
      <c r="M41" s="352">
        <v>130.0401460198896</v>
      </c>
      <c r="N41" s="350">
        <v>14219.879999999997</v>
      </c>
      <c r="O41" s="352">
        <v>27.53323378429872</v>
      </c>
      <c r="P41" s="350">
        <v>-53210.109999999986</v>
      </c>
      <c r="Q41" s="351">
        <v>-269.144090217367</v>
      </c>
      <c r="R41" s="354">
        <v>-52940.96590978263</v>
      </c>
      <c r="S41" s="350">
        <v>0</v>
      </c>
      <c r="T41" s="352">
        <v>0</v>
      </c>
      <c r="U41" s="351">
        <v>-3.637978807091713E-12</v>
      </c>
      <c r="V41" s="352">
        <v>-7.044034197052318E-15</v>
      </c>
      <c r="W41" s="350">
        <v>24100</v>
      </c>
      <c r="X41" s="351">
        <v>-15898.159999999998</v>
      </c>
      <c r="Y41" s="369">
        <v>14.465719092038453</v>
      </c>
      <c r="Z41" s="398">
        <v>44561</v>
      </c>
      <c r="AF41" s="381" t="s">
        <v>512</v>
      </c>
      <c r="AG41" s="355">
        <v>760185.4299999999</v>
      </c>
      <c r="AH41" s="351">
        <v>905696.9499999998</v>
      </c>
      <c r="AI41" s="356">
        <v>-16.066248208078864</v>
      </c>
      <c r="AJ41" s="355">
        <v>395205.97999999986</v>
      </c>
      <c r="AK41" s="353">
        <v>51.98810242916651</v>
      </c>
      <c r="AL41" s="355">
        <v>408442.9099999996</v>
      </c>
      <c r="AM41" s="356">
        <v>45.097083522253186</v>
      </c>
      <c r="AN41" s="355">
        <v>381084.5399999999</v>
      </c>
      <c r="AO41" s="356">
        <v>50.13047145615511</v>
      </c>
      <c r="AP41" s="355">
        <v>-13236.92999999976</v>
      </c>
      <c r="AQ41" s="351">
        <v>-65621.45170890012</v>
      </c>
      <c r="AR41" s="357">
        <v>52384.52170890036</v>
      </c>
      <c r="AS41" s="355">
        <v>0</v>
      </c>
      <c r="AT41" s="356">
        <v>0</v>
      </c>
      <c r="AU41" s="351">
        <v>-14121.439999999944</v>
      </c>
      <c r="AV41" s="356">
        <v>-1.8576309730114067</v>
      </c>
      <c r="AW41" s="355">
        <v>24100</v>
      </c>
      <c r="AX41" s="351">
        <v>-4800</v>
      </c>
      <c r="AY41" s="369">
        <v>11.571518806931094</v>
      </c>
      <c r="AZ41" s="399">
        <v>44561</v>
      </c>
    </row>
    <row r="42" spans="1:52" ht="12.75" hidden="1" outlineLevel="1">
      <c r="A42" s="394">
        <v>2601</v>
      </c>
      <c r="B42" s="394" t="s">
        <v>616</v>
      </c>
      <c r="C42" s="394" t="s">
        <v>910</v>
      </c>
      <c r="D42" s="395">
        <v>1</v>
      </c>
      <c r="F42" s="349" t="s">
        <v>1616</v>
      </c>
      <c r="G42" s="350">
        <v>0</v>
      </c>
      <c r="H42" s="351">
        <v>0</v>
      </c>
      <c r="I42" s="352">
        <v>0</v>
      </c>
      <c r="J42" s="350">
        <v>0</v>
      </c>
      <c r="K42" s="353">
        <v>0</v>
      </c>
      <c r="L42" s="350">
        <v>-189.12</v>
      </c>
      <c r="M42" s="352">
        <v>0</v>
      </c>
      <c r="N42" s="350">
        <v>0</v>
      </c>
      <c r="O42" s="352">
        <v>0</v>
      </c>
      <c r="P42" s="350">
        <v>189.12</v>
      </c>
      <c r="Q42" s="351">
        <v>0</v>
      </c>
      <c r="R42" s="354">
        <v>0</v>
      </c>
      <c r="S42" s="350">
        <v>0</v>
      </c>
      <c r="T42" s="352">
        <v>0</v>
      </c>
      <c r="U42" s="351">
        <v>0</v>
      </c>
      <c r="V42" s="352">
        <v>0</v>
      </c>
      <c r="W42" s="350">
        <v>0</v>
      </c>
      <c r="X42" s="351">
        <v>0</v>
      </c>
      <c r="Y42" s="369">
        <v>0</v>
      </c>
      <c r="Z42" s="398">
        <v>44561</v>
      </c>
      <c r="AF42" s="381" t="s">
        <v>1616</v>
      </c>
      <c r="AG42" s="355">
        <v>0</v>
      </c>
      <c r="AH42" s="351">
        <v>0</v>
      </c>
      <c r="AI42" s="356">
        <v>0</v>
      </c>
      <c r="AJ42" s="355">
        <v>0</v>
      </c>
      <c r="AK42" s="353">
        <v>0</v>
      </c>
      <c r="AL42" s="355">
        <v>-189.12</v>
      </c>
      <c r="AM42" s="356">
        <v>0</v>
      </c>
      <c r="AN42" s="355">
        <v>0</v>
      </c>
      <c r="AO42" s="356">
        <v>0</v>
      </c>
      <c r="AP42" s="355">
        <v>189.12</v>
      </c>
      <c r="AQ42" s="351">
        <v>0</v>
      </c>
      <c r="AR42" s="357">
        <v>0</v>
      </c>
      <c r="AS42" s="355">
        <v>0</v>
      </c>
      <c r="AT42" s="356">
        <v>0</v>
      </c>
      <c r="AU42" s="351">
        <v>0</v>
      </c>
      <c r="AV42" s="356">
        <v>0</v>
      </c>
      <c r="AW42" s="355">
        <v>0</v>
      </c>
      <c r="AX42" s="351">
        <v>0</v>
      </c>
      <c r="AY42" s="369">
        <v>0</v>
      </c>
      <c r="AZ42" s="399">
        <v>44561</v>
      </c>
    </row>
    <row r="43" spans="1:52" ht="12.75" hidden="1" outlineLevel="1">
      <c r="A43" s="394">
        <v>2604</v>
      </c>
      <c r="B43" s="394" t="s">
        <v>616</v>
      </c>
      <c r="C43" s="394" t="s">
        <v>910</v>
      </c>
      <c r="D43" s="395">
        <v>1</v>
      </c>
      <c r="F43" s="349" t="s">
        <v>1618</v>
      </c>
      <c r="G43" s="350">
        <v>0</v>
      </c>
      <c r="H43" s="351">
        <v>0</v>
      </c>
      <c r="I43" s="352">
        <v>0</v>
      </c>
      <c r="J43" s="350">
        <v>0</v>
      </c>
      <c r="K43" s="353">
        <v>0</v>
      </c>
      <c r="L43" s="350">
        <v>-265.84</v>
      </c>
      <c r="M43" s="352">
        <v>0</v>
      </c>
      <c r="N43" s="350">
        <v>0</v>
      </c>
      <c r="O43" s="352">
        <v>0</v>
      </c>
      <c r="P43" s="350">
        <v>265.84</v>
      </c>
      <c r="Q43" s="351">
        <v>0</v>
      </c>
      <c r="R43" s="354">
        <v>0</v>
      </c>
      <c r="S43" s="350">
        <v>0</v>
      </c>
      <c r="T43" s="352">
        <v>0</v>
      </c>
      <c r="U43" s="351">
        <v>0</v>
      </c>
      <c r="V43" s="352">
        <v>0</v>
      </c>
      <c r="W43" s="350">
        <v>0</v>
      </c>
      <c r="X43" s="351">
        <v>0</v>
      </c>
      <c r="Y43" s="369">
        <v>0</v>
      </c>
      <c r="Z43" s="398">
        <v>44561</v>
      </c>
      <c r="AF43" s="381" t="s">
        <v>1618</v>
      </c>
      <c r="AG43" s="355">
        <v>0</v>
      </c>
      <c r="AH43" s="351">
        <v>0</v>
      </c>
      <c r="AI43" s="356">
        <v>0</v>
      </c>
      <c r="AJ43" s="355">
        <v>0</v>
      </c>
      <c r="AK43" s="353">
        <v>0</v>
      </c>
      <c r="AL43" s="355">
        <v>-265.84</v>
      </c>
      <c r="AM43" s="356">
        <v>0</v>
      </c>
      <c r="AN43" s="355">
        <v>0</v>
      </c>
      <c r="AO43" s="356">
        <v>0</v>
      </c>
      <c r="AP43" s="355">
        <v>265.84</v>
      </c>
      <c r="AQ43" s="351">
        <v>0</v>
      </c>
      <c r="AR43" s="357">
        <v>0</v>
      </c>
      <c r="AS43" s="355">
        <v>0</v>
      </c>
      <c r="AT43" s="356">
        <v>0</v>
      </c>
      <c r="AU43" s="351">
        <v>0</v>
      </c>
      <c r="AV43" s="356">
        <v>0</v>
      </c>
      <c r="AW43" s="355">
        <v>0</v>
      </c>
      <c r="AX43" s="351">
        <v>0</v>
      </c>
      <c r="AY43" s="369">
        <v>0</v>
      </c>
      <c r="AZ43" s="399">
        <v>44561</v>
      </c>
    </row>
    <row r="44" spans="1:52" ht="12.75" collapsed="1">
      <c r="A44" s="394">
        <v>150</v>
      </c>
      <c r="B44" s="394" t="s">
        <v>627</v>
      </c>
      <c r="C44" s="394" t="s">
        <v>910</v>
      </c>
      <c r="D44" s="395">
        <v>2</v>
      </c>
      <c r="F44" s="349" t="s">
        <v>1617</v>
      </c>
      <c r="G44" s="350">
        <v>0</v>
      </c>
      <c r="H44" s="351">
        <v>0</v>
      </c>
      <c r="I44" s="352">
        <v>0</v>
      </c>
      <c r="J44" s="350">
        <v>0</v>
      </c>
      <c r="K44" s="353">
        <v>0</v>
      </c>
      <c r="L44" s="350">
        <v>-454.96</v>
      </c>
      <c r="M44" s="352">
        <v>0</v>
      </c>
      <c r="N44" s="350">
        <v>0</v>
      </c>
      <c r="O44" s="352">
        <v>0</v>
      </c>
      <c r="P44" s="350">
        <v>454.96</v>
      </c>
      <c r="Q44" s="351">
        <v>0</v>
      </c>
      <c r="R44" s="354">
        <v>0</v>
      </c>
      <c r="S44" s="350">
        <v>0</v>
      </c>
      <c r="T44" s="352">
        <v>0</v>
      </c>
      <c r="U44" s="351">
        <v>0</v>
      </c>
      <c r="V44" s="352">
        <v>0</v>
      </c>
      <c r="W44" s="350">
        <v>0</v>
      </c>
      <c r="X44" s="351">
        <v>0</v>
      </c>
      <c r="Y44" s="369">
        <v>0</v>
      </c>
      <c r="Z44" s="398">
        <v>44561</v>
      </c>
      <c r="AF44" s="381" t="s">
        <v>1617</v>
      </c>
      <c r="AG44" s="355">
        <v>0</v>
      </c>
      <c r="AH44" s="351">
        <v>0</v>
      </c>
      <c r="AI44" s="356">
        <v>0</v>
      </c>
      <c r="AJ44" s="355">
        <v>0</v>
      </c>
      <c r="AK44" s="353">
        <v>0</v>
      </c>
      <c r="AL44" s="355">
        <v>-454.96</v>
      </c>
      <c r="AM44" s="356">
        <v>0</v>
      </c>
      <c r="AN44" s="355">
        <v>0</v>
      </c>
      <c r="AO44" s="356">
        <v>0</v>
      </c>
      <c r="AP44" s="355">
        <v>454.96</v>
      </c>
      <c r="AQ44" s="351">
        <v>0</v>
      </c>
      <c r="AR44" s="357">
        <v>0</v>
      </c>
      <c r="AS44" s="355">
        <v>0</v>
      </c>
      <c r="AT44" s="356">
        <v>0</v>
      </c>
      <c r="AU44" s="351">
        <v>0</v>
      </c>
      <c r="AV44" s="356">
        <v>0</v>
      </c>
      <c r="AW44" s="355">
        <v>0</v>
      </c>
      <c r="AX44" s="351">
        <v>0</v>
      </c>
      <c r="AY44" s="369">
        <v>0</v>
      </c>
      <c r="AZ44" s="399">
        <v>44561</v>
      </c>
    </row>
    <row r="45" spans="1:52" ht="12.75" hidden="1" outlineLevel="1">
      <c r="A45" s="394">
        <v>2701</v>
      </c>
      <c r="B45" s="394" t="s">
        <v>616</v>
      </c>
      <c r="C45" s="394" t="s">
        <v>910</v>
      </c>
      <c r="D45" s="395">
        <v>1</v>
      </c>
      <c r="F45" s="349" t="s">
        <v>1620</v>
      </c>
      <c r="G45" s="350">
        <v>0</v>
      </c>
      <c r="H45" s="351">
        <v>0</v>
      </c>
      <c r="I45" s="352">
        <v>0</v>
      </c>
      <c r="J45" s="350">
        <v>0</v>
      </c>
      <c r="K45" s="353">
        <v>0</v>
      </c>
      <c r="L45" s="350">
        <v>-10722.72</v>
      </c>
      <c r="M45" s="352">
        <v>0</v>
      </c>
      <c r="N45" s="350">
        <v>0</v>
      </c>
      <c r="O45" s="352">
        <v>0</v>
      </c>
      <c r="P45" s="350">
        <v>10722.72</v>
      </c>
      <c r="Q45" s="351">
        <v>0</v>
      </c>
      <c r="R45" s="354">
        <v>0</v>
      </c>
      <c r="S45" s="350">
        <v>0</v>
      </c>
      <c r="T45" s="352">
        <v>0</v>
      </c>
      <c r="U45" s="351">
        <v>0</v>
      </c>
      <c r="V45" s="352">
        <v>0</v>
      </c>
      <c r="W45" s="350">
        <v>0</v>
      </c>
      <c r="X45" s="351">
        <v>0</v>
      </c>
      <c r="Y45" s="369">
        <v>0</v>
      </c>
      <c r="Z45" s="398">
        <v>44561</v>
      </c>
      <c r="AF45" s="381" t="s">
        <v>1620</v>
      </c>
      <c r="AG45" s="355">
        <v>0</v>
      </c>
      <c r="AH45" s="351">
        <v>72872.07</v>
      </c>
      <c r="AI45" s="356">
        <v>-100</v>
      </c>
      <c r="AJ45" s="355">
        <v>0</v>
      </c>
      <c r="AK45" s="353">
        <v>0</v>
      </c>
      <c r="AL45" s="355">
        <v>25233.700000000004</v>
      </c>
      <c r="AM45" s="356">
        <v>34.62739565378066</v>
      </c>
      <c r="AN45" s="355">
        <v>0</v>
      </c>
      <c r="AO45" s="356">
        <v>0</v>
      </c>
      <c r="AP45" s="355">
        <v>-25233.700000000004</v>
      </c>
      <c r="AQ45" s="351">
        <v>-25233.700000000004</v>
      </c>
      <c r="AR45" s="357">
        <v>0</v>
      </c>
      <c r="AS45" s="355">
        <v>0</v>
      </c>
      <c r="AT45" s="356">
        <v>0</v>
      </c>
      <c r="AU45" s="351">
        <v>0</v>
      </c>
      <c r="AV45" s="356">
        <v>0</v>
      </c>
      <c r="AW45" s="355">
        <v>0</v>
      </c>
      <c r="AX45" s="351">
        <v>0</v>
      </c>
      <c r="AY45" s="369">
        <v>0</v>
      </c>
      <c r="AZ45" s="399">
        <v>44561</v>
      </c>
    </row>
    <row r="46" spans="1:52" ht="12.75" hidden="1" outlineLevel="1">
      <c r="A46" s="394">
        <v>2702</v>
      </c>
      <c r="B46" s="394" t="s">
        <v>616</v>
      </c>
      <c r="C46" s="394" t="s">
        <v>910</v>
      </c>
      <c r="D46" s="395">
        <v>1</v>
      </c>
      <c r="F46" s="349" t="s">
        <v>1621</v>
      </c>
      <c r="G46" s="350">
        <v>0</v>
      </c>
      <c r="H46" s="351">
        <v>0</v>
      </c>
      <c r="I46" s="352">
        <v>0</v>
      </c>
      <c r="J46" s="350">
        <v>0</v>
      </c>
      <c r="K46" s="353">
        <v>0</v>
      </c>
      <c r="L46" s="350">
        <v>-3507.22</v>
      </c>
      <c r="M46" s="352">
        <v>0</v>
      </c>
      <c r="N46" s="350">
        <v>0</v>
      </c>
      <c r="O46" s="352">
        <v>0</v>
      </c>
      <c r="P46" s="350">
        <v>3507.22</v>
      </c>
      <c r="Q46" s="351">
        <v>0</v>
      </c>
      <c r="R46" s="354">
        <v>0</v>
      </c>
      <c r="S46" s="350">
        <v>0</v>
      </c>
      <c r="T46" s="352">
        <v>0</v>
      </c>
      <c r="U46" s="351">
        <v>0</v>
      </c>
      <c r="V46" s="352">
        <v>0</v>
      </c>
      <c r="W46" s="350">
        <v>0</v>
      </c>
      <c r="X46" s="351">
        <v>0</v>
      </c>
      <c r="Y46" s="369">
        <v>0</v>
      </c>
      <c r="Z46" s="398">
        <v>44561</v>
      </c>
      <c r="AF46" s="381" t="s">
        <v>1621</v>
      </c>
      <c r="AG46" s="355">
        <v>0</v>
      </c>
      <c r="AH46" s="351">
        <v>7074.71</v>
      </c>
      <c r="AI46" s="356">
        <v>-100</v>
      </c>
      <c r="AJ46" s="355">
        <v>0</v>
      </c>
      <c r="AK46" s="353">
        <v>0</v>
      </c>
      <c r="AL46" s="355">
        <v>23.079999999999927</v>
      </c>
      <c r="AM46" s="356">
        <v>0.32623245334437634</v>
      </c>
      <c r="AN46" s="355">
        <v>0</v>
      </c>
      <c r="AO46" s="356">
        <v>0</v>
      </c>
      <c r="AP46" s="355">
        <v>-23.079999999999927</v>
      </c>
      <c r="AQ46" s="351">
        <v>-23.079999999999927</v>
      </c>
      <c r="AR46" s="357">
        <v>0</v>
      </c>
      <c r="AS46" s="355">
        <v>0</v>
      </c>
      <c r="AT46" s="356">
        <v>0</v>
      </c>
      <c r="AU46" s="351">
        <v>0</v>
      </c>
      <c r="AV46" s="356">
        <v>0</v>
      </c>
      <c r="AW46" s="355">
        <v>0</v>
      </c>
      <c r="AX46" s="351">
        <v>0</v>
      </c>
      <c r="AY46" s="369">
        <v>0</v>
      </c>
      <c r="AZ46" s="399">
        <v>44561</v>
      </c>
    </row>
    <row r="47" spans="1:52" ht="12.75" hidden="1" outlineLevel="1">
      <c r="A47" s="394">
        <v>2703</v>
      </c>
      <c r="B47" s="394" t="s">
        <v>616</v>
      </c>
      <c r="C47" s="394" t="s">
        <v>910</v>
      </c>
      <c r="D47" s="395">
        <v>1</v>
      </c>
      <c r="F47" s="349" t="s">
        <v>1622</v>
      </c>
      <c r="G47" s="350">
        <v>0</v>
      </c>
      <c r="H47" s="351">
        <v>0</v>
      </c>
      <c r="I47" s="352">
        <v>0</v>
      </c>
      <c r="J47" s="350">
        <v>0</v>
      </c>
      <c r="K47" s="353">
        <v>0</v>
      </c>
      <c r="L47" s="350">
        <v>-37495.96</v>
      </c>
      <c r="M47" s="352">
        <v>0</v>
      </c>
      <c r="N47" s="350">
        <v>0</v>
      </c>
      <c r="O47" s="352">
        <v>0</v>
      </c>
      <c r="P47" s="350">
        <v>37495.96</v>
      </c>
      <c r="Q47" s="351">
        <v>0</v>
      </c>
      <c r="R47" s="354">
        <v>0</v>
      </c>
      <c r="S47" s="350">
        <v>0</v>
      </c>
      <c r="T47" s="352">
        <v>0</v>
      </c>
      <c r="U47" s="351">
        <v>0</v>
      </c>
      <c r="V47" s="352">
        <v>0</v>
      </c>
      <c r="W47" s="350">
        <v>0</v>
      </c>
      <c r="X47" s="351">
        <v>0</v>
      </c>
      <c r="Y47" s="369">
        <v>0</v>
      </c>
      <c r="Z47" s="398">
        <v>44561</v>
      </c>
      <c r="AF47" s="381" t="s">
        <v>1622</v>
      </c>
      <c r="AG47" s="355">
        <v>0</v>
      </c>
      <c r="AH47" s="351">
        <v>707721.99</v>
      </c>
      <c r="AI47" s="356">
        <v>-100</v>
      </c>
      <c r="AJ47" s="355">
        <v>0</v>
      </c>
      <c r="AK47" s="353">
        <v>0</v>
      </c>
      <c r="AL47" s="355">
        <v>254611.02000000002</v>
      </c>
      <c r="AM47" s="356">
        <v>35.97613520529438</v>
      </c>
      <c r="AN47" s="355">
        <v>0</v>
      </c>
      <c r="AO47" s="356">
        <v>0</v>
      </c>
      <c r="AP47" s="355">
        <v>-254611.02000000002</v>
      </c>
      <c r="AQ47" s="351">
        <v>-254611.02</v>
      </c>
      <c r="AR47" s="357">
        <v>0</v>
      </c>
      <c r="AS47" s="355">
        <v>0</v>
      </c>
      <c r="AT47" s="356">
        <v>0</v>
      </c>
      <c r="AU47" s="351">
        <v>0</v>
      </c>
      <c r="AV47" s="356">
        <v>0</v>
      </c>
      <c r="AW47" s="355">
        <v>0</v>
      </c>
      <c r="AX47" s="351">
        <v>0</v>
      </c>
      <c r="AY47" s="369">
        <v>0</v>
      </c>
      <c r="AZ47" s="399">
        <v>44561</v>
      </c>
    </row>
    <row r="48" spans="1:52" ht="12.75" hidden="1" outlineLevel="1">
      <c r="A48" s="394">
        <v>2704</v>
      </c>
      <c r="B48" s="394" t="s">
        <v>616</v>
      </c>
      <c r="C48" s="394" t="s">
        <v>910</v>
      </c>
      <c r="D48" s="395">
        <v>1</v>
      </c>
      <c r="F48" s="349" t="s">
        <v>1623</v>
      </c>
      <c r="G48" s="350">
        <v>0</v>
      </c>
      <c r="H48" s="351">
        <v>0</v>
      </c>
      <c r="I48" s="352">
        <v>0</v>
      </c>
      <c r="J48" s="350">
        <v>0</v>
      </c>
      <c r="K48" s="353">
        <v>0</v>
      </c>
      <c r="L48" s="350">
        <v>-40556.33</v>
      </c>
      <c r="M48" s="352">
        <v>0</v>
      </c>
      <c r="N48" s="350">
        <v>0</v>
      </c>
      <c r="O48" s="352">
        <v>0</v>
      </c>
      <c r="P48" s="350">
        <v>40556.33</v>
      </c>
      <c r="Q48" s="351">
        <v>0</v>
      </c>
      <c r="R48" s="354">
        <v>0</v>
      </c>
      <c r="S48" s="350">
        <v>0</v>
      </c>
      <c r="T48" s="352">
        <v>0</v>
      </c>
      <c r="U48" s="351">
        <v>0</v>
      </c>
      <c r="V48" s="352">
        <v>0</v>
      </c>
      <c r="W48" s="350">
        <v>0</v>
      </c>
      <c r="X48" s="351">
        <v>0</v>
      </c>
      <c r="Y48" s="369">
        <v>0</v>
      </c>
      <c r="Z48" s="398">
        <v>44561</v>
      </c>
      <c r="AF48" s="381" t="s">
        <v>1623</v>
      </c>
      <c r="AG48" s="355">
        <v>0</v>
      </c>
      <c r="AH48" s="351">
        <v>600554.46</v>
      </c>
      <c r="AI48" s="356">
        <v>-100</v>
      </c>
      <c r="AJ48" s="355">
        <v>0</v>
      </c>
      <c r="AK48" s="353">
        <v>0</v>
      </c>
      <c r="AL48" s="355">
        <v>245075.37999999998</v>
      </c>
      <c r="AM48" s="356">
        <v>40.80818582214842</v>
      </c>
      <c r="AN48" s="355">
        <v>0</v>
      </c>
      <c r="AO48" s="356">
        <v>0</v>
      </c>
      <c r="AP48" s="355">
        <v>-245075.37999999998</v>
      </c>
      <c r="AQ48" s="351">
        <v>-245075.37999999998</v>
      </c>
      <c r="AR48" s="357">
        <v>0</v>
      </c>
      <c r="AS48" s="355">
        <v>0</v>
      </c>
      <c r="AT48" s="356">
        <v>0</v>
      </c>
      <c r="AU48" s="351">
        <v>0</v>
      </c>
      <c r="AV48" s="356">
        <v>0</v>
      </c>
      <c r="AW48" s="355">
        <v>0</v>
      </c>
      <c r="AX48" s="351">
        <v>0</v>
      </c>
      <c r="AY48" s="369">
        <v>0</v>
      </c>
      <c r="AZ48" s="399">
        <v>44561</v>
      </c>
    </row>
    <row r="49" spans="1:52" ht="12.75" hidden="1" outlineLevel="1">
      <c r="A49" s="394">
        <v>2705</v>
      </c>
      <c r="B49" s="394" t="s">
        <v>616</v>
      </c>
      <c r="C49" s="394" t="s">
        <v>910</v>
      </c>
      <c r="D49" s="395">
        <v>1</v>
      </c>
      <c r="F49" s="349" t="s">
        <v>1624</v>
      </c>
      <c r="G49" s="350">
        <v>0</v>
      </c>
      <c r="H49" s="351">
        <v>0</v>
      </c>
      <c r="I49" s="352">
        <v>0</v>
      </c>
      <c r="J49" s="350">
        <v>0</v>
      </c>
      <c r="K49" s="353">
        <v>0</v>
      </c>
      <c r="L49" s="350">
        <v>-6800.42</v>
      </c>
      <c r="M49" s="352">
        <v>0</v>
      </c>
      <c r="N49" s="350">
        <v>0</v>
      </c>
      <c r="O49" s="352">
        <v>0</v>
      </c>
      <c r="P49" s="350">
        <v>6800.42</v>
      </c>
      <c r="Q49" s="351">
        <v>0</v>
      </c>
      <c r="R49" s="354">
        <v>0</v>
      </c>
      <c r="S49" s="350">
        <v>0</v>
      </c>
      <c r="T49" s="352">
        <v>0</v>
      </c>
      <c r="U49" s="351">
        <v>0</v>
      </c>
      <c r="V49" s="352">
        <v>0</v>
      </c>
      <c r="W49" s="350">
        <v>0</v>
      </c>
      <c r="X49" s="351">
        <v>0</v>
      </c>
      <c r="Y49" s="369">
        <v>0</v>
      </c>
      <c r="Z49" s="398">
        <v>44561</v>
      </c>
      <c r="AF49" s="381" t="s">
        <v>1624</v>
      </c>
      <c r="AG49" s="355">
        <v>0</v>
      </c>
      <c r="AH49" s="351">
        <v>1596.1</v>
      </c>
      <c r="AI49" s="356">
        <v>-100</v>
      </c>
      <c r="AJ49" s="355">
        <v>0</v>
      </c>
      <c r="AK49" s="353">
        <v>0</v>
      </c>
      <c r="AL49" s="355">
        <v>-6003.9</v>
      </c>
      <c r="AM49" s="356">
        <v>-376.1606415638118</v>
      </c>
      <c r="AN49" s="355">
        <v>0</v>
      </c>
      <c r="AO49" s="356">
        <v>0</v>
      </c>
      <c r="AP49" s="355">
        <v>6003.9</v>
      </c>
      <c r="AQ49" s="351">
        <v>6003.9</v>
      </c>
      <c r="AR49" s="357">
        <v>0</v>
      </c>
      <c r="AS49" s="355">
        <v>0</v>
      </c>
      <c r="AT49" s="356">
        <v>0</v>
      </c>
      <c r="AU49" s="351">
        <v>0</v>
      </c>
      <c r="AV49" s="356">
        <v>0</v>
      </c>
      <c r="AW49" s="355">
        <v>0</v>
      </c>
      <c r="AX49" s="351">
        <v>0</v>
      </c>
      <c r="AY49" s="369">
        <v>0</v>
      </c>
      <c r="AZ49" s="399">
        <v>44561</v>
      </c>
    </row>
    <row r="50" spans="1:52" ht="12.75" hidden="1" outlineLevel="1">
      <c r="A50" s="394">
        <v>16010</v>
      </c>
      <c r="B50" s="394" t="s">
        <v>616</v>
      </c>
      <c r="C50" s="394" t="s">
        <v>910</v>
      </c>
      <c r="D50" s="395">
        <v>1</v>
      </c>
      <c r="F50" s="349" t="s">
        <v>636</v>
      </c>
      <c r="G50" s="350">
        <v>12749.39</v>
      </c>
      <c r="H50" s="351">
        <v>16076.31</v>
      </c>
      <c r="I50" s="352">
        <v>-20.694549930923202</v>
      </c>
      <c r="J50" s="350">
        <v>9766.189999999999</v>
      </c>
      <c r="K50" s="353">
        <v>76.60123347077781</v>
      </c>
      <c r="L50" s="350">
        <v>33697.17</v>
      </c>
      <c r="M50" s="352">
        <v>209.60761518034923</v>
      </c>
      <c r="N50" s="350">
        <v>9766.189999999999</v>
      </c>
      <c r="O50" s="352">
        <v>76.60123347077781</v>
      </c>
      <c r="P50" s="350">
        <v>-23930.98</v>
      </c>
      <c r="Q50" s="351">
        <v>-6973.477670958074</v>
      </c>
      <c r="R50" s="354">
        <v>-16957.502329041923</v>
      </c>
      <c r="S50" s="350">
        <v>0</v>
      </c>
      <c r="T50" s="352">
        <v>0</v>
      </c>
      <c r="U50" s="351">
        <v>0</v>
      </c>
      <c r="V50" s="352">
        <v>0</v>
      </c>
      <c r="W50" s="350">
        <v>15500</v>
      </c>
      <c r="X50" s="351">
        <v>1665.57</v>
      </c>
      <c r="Y50" s="369">
        <v>37.688077625674644</v>
      </c>
      <c r="Z50" s="398">
        <v>44926</v>
      </c>
      <c r="AF50" s="381" t="s">
        <v>636</v>
      </c>
      <c r="AG50" s="355">
        <v>196987.44</v>
      </c>
      <c r="AH50" s="351">
        <v>56319.98</v>
      </c>
      <c r="AI50" s="356">
        <v>249.76475488805212</v>
      </c>
      <c r="AJ50" s="355">
        <v>111453.2</v>
      </c>
      <c r="AK50" s="353">
        <v>56.5788356861737</v>
      </c>
      <c r="AL50" s="355">
        <v>55540.82</v>
      </c>
      <c r="AM50" s="356">
        <v>98.6165478041718</v>
      </c>
      <c r="AN50" s="355">
        <v>107448.33</v>
      </c>
      <c r="AO50" s="356">
        <v>54.54577713178058</v>
      </c>
      <c r="AP50" s="355">
        <v>55912.38</v>
      </c>
      <c r="AQ50" s="351">
        <v>138721.39293581422</v>
      </c>
      <c r="AR50" s="357">
        <v>-82809.01293581424</v>
      </c>
      <c r="AS50" s="355">
        <v>0</v>
      </c>
      <c r="AT50" s="356">
        <v>0</v>
      </c>
      <c r="AU50" s="351">
        <v>-4004.8699999999953</v>
      </c>
      <c r="AV50" s="356">
        <v>-2.03305855439311</v>
      </c>
      <c r="AW50" s="355">
        <v>15500</v>
      </c>
      <c r="AX50" s="351">
        <v>2900</v>
      </c>
      <c r="AY50" s="369">
        <v>28.720105200615837</v>
      </c>
      <c r="AZ50" s="399">
        <v>44926</v>
      </c>
    </row>
    <row r="51" spans="1:52" ht="12.75" hidden="1" outlineLevel="1">
      <c r="A51" s="394">
        <v>16011</v>
      </c>
      <c r="B51" s="394" t="s">
        <v>616</v>
      </c>
      <c r="C51" s="394" t="s">
        <v>910</v>
      </c>
      <c r="D51" s="395">
        <v>1</v>
      </c>
      <c r="F51" s="349" t="s">
        <v>637</v>
      </c>
      <c r="G51" s="350">
        <v>10284.32</v>
      </c>
      <c r="H51" s="351">
        <v>10651.28</v>
      </c>
      <c r="I51" s="352">
        <v>-3.4452197294597546</v>
      </c>
      <c r="J51" s="350">
        <v>-6919.529999999999</v>
      </c>
      <c r="K51" s="353">
        <v>-67.28232882679652</v>
      </c>
      <c r="L51" s="350">
        <v>-17642.260000000002</v>
      </c>
      <c r="M51" s="352">
        <v>-165.63511615505368</v>
      </c>
      <c r="N51" s="350">
        <v>-6919.529999999999</v>
      </c>
      <c r="O51" s="352">
        <v>-67.28232882679652</v>
      </c>
      <c r="P51" s="350">
        <v>10722.730000000003</v>
      </c>
      <c r="Q51" s="351">
        <v>607.8146222425864</v>
      </c>
      <c r="R51" s="354">
        <v>10114.915377757416</v>
      </c>
      <c r="S51" s="350">
        <v>0</v>
      </c>
      <c r="T51" s="352">
        <v>0</v>
      </c>
      <c r="U51" s="351">
        <v>0</v>
      </c>
      <c r="V51" s="352">
        <v>0</v>
      </c>
      <c r="W51" s="350">
        <v>14500</v>
      </c>
      <c r="X51" s="351">
        <v>-13184.9</v>
      </c>
      <c r="Y51" s="369">
        <v>43.70731365807365</v>
      </c>
      <c r="Z51" s="398">
        <v>44926</v>
      </c>
      <c r="AF51" s="381" t="s">
        <v>637</v>
      </c>
      <c r="AG51" s="355">
        <v>150430.18</v>
      </c>
      <c r="AH51" s="351">
        <v>41257.41</v>
      </c>
      <c r="AI51" s="356">
        <v>264.61372635848926</v>
      </c>
      <c r="AJ51" s="355">
        <v>55328.62999999999</v>
      </c>
      <c r="AK51" s="353">
        <v>36.78027241608033</v>
      </c>
      <c r="AL51" s="355">
        <v>-665.2299999999959</v>
      </c>
      <c r="AM51" s="356">
        <v>-1.6123891441561549</v>
      </c>
      <c r="AN51" s="355">
        <v>76381.65</v>
      </c>
      <c r="AO51" s="356">
        <v>50.775482685721705</v>
      </c>
      <c r="AP51" s="355">
        <v>55993.859999999986</v>
      </c>
      <c r="AQ51" s="351">
        <v>-1760.2898918545673</v>
      </c>
      <c r="AR51" s="357">
        <v>57754.14989185456</v>
      </c>
      <c r="AS51" s="355">
        <v>0</v>
      </c>
      <c r="AT51" s="356">
        <v>0</v>
      </c>
      <c r="AU51" s="351">
        <v>21053.020000000004</v>
      </c>
      <c r="AV51" s="356">
        <v>13.995210269641374</v>
      </c>
      <c r="AW51" s="355">
        <v>14500</v>
      </c>
      <c r="AX51" s="351">
        <v>5700</v>
      </c>
      <c r="AY51" s="369">
        <v>35.18243480131447</v>
      </c>
      <c r="AZ51" s="399">
        <v>44926</v>
      </c>
    </row>
    <row r="52" spans="1:52" ht="12.75" hidden="1" outlineLevel="1">
      <c r="A52" s="394">
        <v>16012</v>
      </c>
      <c r="B52" s="394" t="s">
        <v>616</v>
      </c>
      <c r="C52" s="394" t="s">
        <v>910</v>
      </c>
      <c r="D52" s="395">
        <v>1</v>
      </c>
      <c r="F52" s="349" t="s">
        <v>638</v>
      </c>
      <c r="G52" s="350">
        <v>5568.56</v>
      </c>
      <c r="H52" s="351">
        <v>5216.73</v>
      </c>
      <c r="I52" s="352">
        <v>6.744263168689982</v>
      </c>
      <c r="J52" s="350">
        <v>-368.21999999999935</v>
      </c>
      <c r="K52" s="353">
        <v>-6.61248150329707</v>
      </c>
      <c r="L52" s="350">
        <v>25480.97</v>
      </c>
      <c r="M52" s="352">
        <v>488.44716901200565</v>
      </c>
      <c r="N52" s="350">
        <v>-368.21999999999935</v>
      </c>
      <c r="O52" s="352">
        <v>-6.61248150329707</v>
      </c>
      <c r="P52" s="350">
        <v>-25849.190000000002</v>
      </c>
      <c r="Q52" s="351">
        <v>1718.5036747349436</v>
      </c>
      <c r="R52" s="354">
        <v>-27567.693674734943</v>
      </c>
      <c r="S52" s="350">
        <v>0</v>
      </c>
      <c r="T52" s="352">
        <v>0</v>
      </c>
      <c r="U52" s="351">
        <v>0</v>
      </c>
      <c r="V52" s="352">
        <v>0</v>
      </c>
      <c r="W52" s="350">
        <v>4800</v>
      </c>
      <c r="X52" s="351">
        <v>-4359.15</v>
      </c>
      <c r="Y52" s="369">
        <v>26.721450428836178</v>
      </c>
      <c r="Z52" s="398">
        <v>44926</v>
      </c>
      <c r="AF52" s="381" t="s">
        <v>638</v>
      </c>
      <c r="AG52" s="355">
        <v>77187.81999999999</v>
      </c>
      <c r="AH52" s="351">
        <v>16645.74</v>
      </c>
      <c r="AI52" s="356">
        <v>363.70915321277386</v>
      </c>
      <c r="AJ52" s="355">
        <v>27863.42999999999</v>
      </c>
      <c r="AK52" s="353">
        <v>36.09822119603843</v>
      </c>
      <c r="AL52" s="355">
        <v>31149.36</v>
      </c>
      <c r="AM52" s="356">
        <v>187.131121836578</v>
      </c>
      <c r="AN52" s="355">
        <v>37333.65999999999</v>
      </c>
      <c r="AO52" s="356">
        <v>48.367294218181044</v>
      </c>
      <c r="AP52" s="355">
        <v>-3285.930000000011</v>
      </c>
      <c r="AQ52" s="351">
        <v>113293.07348719849</v>
      </c>
      <c r="AR52" s="357">
        <v>-116579.00348719851</v>
      </c>
      <c r="AS52" s="355">
        <v>0</v>
      </c>
      <c r="AT52" s="356">
        <v>0</v>
      </c>
      <c r="AU52" s="351">
        <v>9470.23</v>
      </c>
      <c r="AV52" s="356">
        <v>12.269073022142614</v>
      </c>
      <c r="AW52" s="355">
        <v>4800</v>
      </c>
      <c r="AX52" s="351">
        <v>-15200</v>
      </c>
      <c r="AY52" s="369">
        <v>22.69788160878232</v>
      </c>
      <c r="AZ52" s="399">
        <v>44926</v>
      </c>
    </row>
    <row r="53" spans="1:52" ht="12.75" hidden="1" outlineLevel="1">
      <c r="A53" s="394">
        <v>16013</v>
      </c>
      <c r="B53" s="394" t="s">
        <v>616</v>
      </c>
      <c r="C53" s="394" t="s">
        <v>910</v>
      </c>
      <c r="D53" s="395">
        <v>1</v>
      </c>
      <c r="F53" s="349" t="s">
        <v>639</v>
      </c>
      <c r="G53" s="350">
        <v>11825.21</v>
      </c>
      <c r="H53" s="351">
        <v>15597.25</v>
      </c>
      <c r="I53" s="352">
        <v>-24.184006796069827</v>
      </c>
      <c r="J53" s="350">
        <v>12621.689999999999</v>
      </c>
      <c r="K53" s="353">
        <v>106.73544063910914</v>
      </c>
      <c r="L53" s="350">
        <v>68043.71</v>
      </c>
      <c r="M53" s="352">
        <v>436.2545320489189</v>
      </c>
      <c r="N53" s="350">
        <v>12817.029999999999</v>
      </c>
      <c r="O53" s="352">
        <v>108.38733519320165</v>
      </c>
      <c r="P53" s="350">
        <v>-55422.020000000004</v>
      </c>
      <c r="Q53" s="351">
        <v>-16455.695450698044</v>
      </c>
      <c r="R53" s="354">
        <v>-38966.324549301964</v>
      </c>
      <c r="S53" s="350">
        <v>0</v>
      </c>
      <c r="T53" s="352">
        <v>0</v>
      </c>
      <c r="U53" s="351">
        <v>195.34000000000015</v>
      </c>
      <c r="V53" s="352">
        <v>1.6518945540924868</v>
      </c>
      <c r="W53" s="350">
        <v>16300</v>
      </c>
      <c r="X53" s="351">
        <v>5566.92</v>
      </c>
      <c r="Y53" s="369">
        <v>42.73074220246406</v>
      </c>
      <c r="Z53" s="398">
        <v>44926</v>
      </c>
      <c r="AF53" s="381" t="s">
        <v>639</v>
      </c>
      <c r="AG53" s="355">
        <v>178030.9</v>
      </c>
      <c r="AH53" s="351">
        <v>55267.11</v>
      </c>
      <c r="AI53" s="356">
        <v>222.1281156188554</v>
      </c>
      <c r="AJ53" s="355">
        <v>85469.06</v>
      </c>
      <c r="AK53" s="353">
        <v>48.00799187107407</v>
      </c>
      <c r="AL53" s="355">
        <v>78302.64</v>
      </c>
      <c r="AM53" s="356">
        <v>141.6803592588793</v>
      </c>
      <c r="AN53" s="355">
        <v>77628.34999999999</v>
      </c>
      <c r="AO53" s="356">
        <v>43.603863149599306</v>
      </c>
      <c r="AP53" s="355">
        <v>7166.419999999998</v>
      </c>
      <c r="AQ53" s="351">
        <v>173932.1787118161</v>
      </c>
      <c r="AR53" s="357">
        <v>-166765.75871181607</v>
      </c>
      <c r="AS53" s="355">
        <v>0</v>
      </c>
      <c r="AT53" s="356">
        <v>0</v>
      </c>
      <c r="AU53" s="351">
        <v>-7840.710000000006</v>
      </c>
      <c r="AV53" s="356">
        <v>-4.404128721474759</v>
      </c>
      <c r="AW53" s="355">
        <v>16300</v>
      </c>
      <c r="AX53" s="351">
        <v>-9500</v>
      </c>
      <c r="AY53" s="369">
        <v>33.418356026959366</v>
      </c>
      <c r="AZ53" s="399">
        <v>44926</v>
      </c>
    </row>
    <row r="54" spans="1:52" ht="12.75" hidden="1" outlineLevel="1">
      <c r="A54" s="394">
        <v>16014</v>
      </c>
      <c r="B54" s="394" t="s">
        <v>616</v>
      </c>
      <c r="C54" s="394" t="s">
        <v>910</v>
      </c>
      <c r="D54" s="395">
        <v>1</v>
      </c>
      <c r="F54" s="349" t="s">
        <v>640</v>
      </c>
      <c r="G54" s="350">
        <v>3335.65</v>
      </c>
      <c r="H54" s="351">
        <v>5156.16</v>
      </c>
      <c r="I54" s="352">
        <v>-35.30747688202073</v>
      </c>
      <c r="J54" s="350">
        <v>-9023.85</v>
      </c>
      <c r="K54" s="353">
        <v>-270.52748339903764</v>
      </c>
      <c r="L54" s="350">
        <v>12235</v>
      </c>
      <c r="M54" s="352">
        <v>237.28899025631478</v>
      </c>
      <c r="N54" s="350">
        <v>-9023.85</v>
      </c>
      <c r="O54" s="352">
        <v>-270.52748339903764</v>
      </c>
      <c r="P54" s="350">
        <v>-21258.85</v>
      </c>
      <c r="Q54" s="351">
        <v>-4319.869796515236</v>
      </c>
      <c r="R54" s="354">
        <v>-16938.980203484767</v>
      </c>
      <c r="S54" s="350">
        <v>0</v>
      </c>
      <c r="T54" s="352">
        <v>0</v>
      </c>
      <c r="U54" s="351">
        <v>0</v>
      </c>
      <c r="V54" s="352">
        <v>0</v>
      </c>
      <c r="W54" s="350">
        <v>6400</v>
      </c>
      <c r="X54" s="351">
        <v>-8747.93</v>
      </c>
      <c r="Y54" s="369">
        <v>59.478662329680866</v>
      </c>
      <c r="Z54" s="398">
        <v>44926</v>
      </c>
      <c r="AF54" s="381" t="s">
        <v>640</v>
      </c>
      <c r="AG54" s="355">
        <v>488404.85</v>
      </c>
      <c r="AH54" s="351">
        <v>20485.65</v>
      </c>
      <c r="AI54" s="356">
        <v>2284.1315750293493</v>
      </c>
      <c r="AJ54" s="355">
        <v>261595.98999999996</v>
      </c>
      <c r="AK54" s="353">
        <v>53.561300629999884</v>
      </c>
      <c r="AL54" s="355">
        <v>19389.32</v>
      </c>
      <c r="AM54" s="356">
        <v>94.64830259230241</v>
      </c>
      <c r="AN54" s="355">
        <v>289851.87</v>
      </c>
      <c r="AO54" s="356">
        <v>59.34664039474629</v>
      </c>
      <c r="AP54" s="355">
        <v>242206.66999999995</v>
      </c>
      <c r="AQ54" s="351">
        <v>442877.5803034807</v>
      </c>
      <c r="AR54" s="357">
        <v>-200670.91030348072</v>
      </c>
      <c r="AS54" s="355">
        <v>1174.92</v>
      </c>
      <c r="AT54" s="356">
        <v>0.24056272168468434</v>
      </c>
      <c r="AU54" s="351">
        <v>27080.960000000036</v>
      </c>
      <c r="AV54" s="356">
        <v>5.544777043061722</v>
      </c>
      <c r="AW54" s="355">
        <v>6400</v>
      </c>
      <c r="AX54" s="351">
        <v>-2200</v>
      </c>
      <c r="AY54" s="369">
        <v>4.782917286755036</v>
      </c>
      <c r="AZ54" s="399">
        <v>44926</v>
      </c>
    </row>
    <row r="55" spans="1:52" ht="12.75" hidden="1" outlineLevel="1">
      <c r="A55" s="394">
        <v>16015</v>
      </c>
      <c r="B55" s="394" t="s">
        <v>616</v>
      </c>
      <c r="C55" s="394" t="s">
        <v>910</v>
      </c>
      <c r="D55" s="395">
        <v>1</v>
      </c>
      <c r="F55" s="349" t="s">
        <v>641</v>
      </c>
      <c r="G55" s="350">
        <v>430.42</v>
      </c>
      <c r="H55" s="351">
        <v>655.68</v>
      </c>
      <c r="I55" s="352">
        <v>-34.35517325524645</v>
      </c>
      <c r="J55" s="350">
        <v>430.42</v>
      </c>
      <c r="K55" s="353">
        <v>100</v>
      </c>
      <c r="L55" s="350">
        <v>1448.8899999999999</v>
      </c>
      <c r="M55" s="352">
        <v>220.97517081503173</v>
      </c>
      <c r="N55" s="350">
        <v>430.42</v>
      </c>
      <c r="O55" s="352">
        <v>100</v>
      </c>
      <c r="P55" s="350">
        <v>-1018.4699999999998</v>
      </c>
      <c r="Q55" s="351">
        <v>-497.7686697779403</v>
      </c>
      <c r="R55" s="354">
        <v>-520.7013302220596</v>
      </c>
      <c r="S55" s="350">
        <v>0</v>
      </c>
      <c r="T55" s="352">
        <v>0</v>
      </c>
      <c r="U55" s="351">
        <v>0</v>
      </c>
      <c r="V55" s="352">
        <v>0</v>
      </c>
      <c r="W55" s="350">
        <v>0</v>
      </c>
      <c r="X55" s="351">
        <v>0</v>
      </c>
      <c r="Y55" s="369">
        <v>0</v>
      </c>
      <c r="Z55" s="398">
        <v>44804</v>
      </c>
      <c r="AF55" s="381" t="s">
        <v>641</v>
      </c>
      <c r="AG55" s="355">
        <v>1219.11</v>
      </c>
      <c r="AH55" s="351">
        <v>1773.1</v>
      </c>
      <c r="AI55" s="356">
        <v>-31.244148666177885</v>
      </c>
      <c r="AJ55" s="355">
        <v>1219.11</v>
      </c>
      <c r="AK55" s="353">
        <v>100</v>
      </c>
      <c r="AL55" s="355">
        <v>1773.1</v>
      </c>
      <c r="AM55" s="356">
        <v>100</v>
      </c>
      <c r="AN55" s="355">
        <v>700.6299999999999</v>
      </c>
      <c r="AO55" s="356">
        <v>57.47061380843402</v>
      </c>
      <c r="AP55" s="355">
        <v>-553.99</v>
      </c>
      <c r="AQ55" s="351">
        <v>-553.99</v>
      </c>
      <c r="AR55" s="357">
        <v>0</v>
      </c>
      <c r="AS55" s="355">
        <v>0</v>
      </c>
      <c r="AT55" s="356">
        <v>0</v>
      </c>
      <c r="AU55" s="351">
        <v>-518.48</v>
      </c>
      <c r="AV55" s="356">
        <v>-42.52938619156598</v>
      </c>
      <c r="AW55" s="355">
        <v>0</v>
      </c>
      <c r="AX55" s="351">
        <v>0</v>
      </c>
      <c r="AY55" s="369">
        <v>0</v>
      </c>
      <c r="AZ55" s="399">
        <v>44804</v>
      </c>
    </row>
    <row r="56" spans="1:52" ht="12.75" collapsed="1">
      <c r="A56" s="394">
        <v>160</v>
      </c>
      <c r="B56" s="394" t="s">
        <v>627</v>
      </c>
      <c r="C56" s="394" t="s">
        <v>910</v>
      </c>
      <c r="D56" s="395">
        <v>2</v>
      </c>
      <c r="F56" s="349" t="s">
        <v>642</v>
      </c>
      <c r="G56" s="350">
        <v>44193.549999999996</v>
      </c>
      <c r="H56" s="351">
        <v>53353.409999999996</v>
      </c>
      <c r="I56" s="352">
        <v>-17.168274717586</v>
      </c>
      <c r="J56" s="350">
        <v>6506.700000000001</v>
      </c>
      <c r="K56" s="353">
        <v>14.72318924367923</v>
      </c>
      <c r="L56" s="350">
        <v>24180.829999999973</v>
      </c>
      <c r="M56" s="352">
        <v>45.321995351374866</v>
      </c>
      <c r="N56" s="350">
        <v>6702.040000000001</v>
      </c>
      <c r="O56" s="352">
        <v>15.165199446525572</v>
      </c>
      <c r="P56" s="350">
        <v>-17674.129999999972</v>
      </c>
      <c r="Q56" s="351">
        <v>-4151.431323392446</v>
      </c>
      <c r="R56" s="354">
        <v>-13522.698676607526</v>
      </c>
      <c r="S56" s="350">
        <v>0</v>
      </c>
      <c r="T56" s="352">
        <v>0</v>
      </c>
      <c r="U56" s="351">
        <v>195.34000000000015</v>
      </c>
      <c r="V56" s="352">
        <v>0.44201020284634335</v>
      </c>
      <c r="W56" s="350">
        <v>57500</v>
      </c>
      <c r="X56" s="351">
        <v>-19059.489999999998</v>
      </c>
      <c r="Y56" s="369">
        <v>40.33394013379781</v>
      </c>
      <c r="Z56" s="398">
        <v>44561</v>
      </c>
      <c r="AF56" s="381" t="s">
        <v>642</v>
      </c>
      <c r="AG56" s="355">
        <v>1092260.3</v>
      </c>
      <c r="AH56" s="351">
        <v>1581568.32</v>
      </c>
      <c r="AI56" s="356">
        <v>-30.938152580092144</v>
      </c>
      <c r="AJ56" s="355">
        <v>542929.4199999999</v>
      </c>
      <c r="AK56" s="353">
        <v>49.706962708431305</v>
      </c>
      <c r="AL56" s="355">
        <v>704429.2900000003</v>
      </c>
      <c r="AM56" s="356">
        <v>44.53992161400908</v>
      </c>
      <c r="AN56" s="355">
        <v>589344.49</v>
      </c>
      <c r="AO56" s="356">
        <v>53.95641405258435</v>
      </c>
      <c r="AP56" s="355">
        <v>-161499.87000000034</v>
      </c>
      <c r="AQ56" s="351">
        <v>-217937.40855905987</v>
      </c>
      <c r="AR56" s="357">
        <v>56437.53855905955</v>
      </c>
      <c r="AS56" s="355">
        <v>1174.92</v>
      </c>
      <c r="AT56" s="356">
        <v>0.10756776566904427</v>
      </c>
      <c r="AU56" s="351">
        <v>45240.15000000007</v>
      </c>
      <c r="AV56" s="356">
        <v>4.141883578483999</v>
      </c>
      <c r="AW56" s="355">
        <v>57500</v>
      </c>
      <c r="AX56" s="351">
        <v>-18300</v>
      </c>
      <c r="AY56" s="369">
        <v>19.21474212694538</v>
      </c>
      <c r="AZ56" s="399">
        <v>44561</v>
      </c>
    </row>
    <row r="57" spans="1:52" ht="12.75" hidden="1" outlineLevel="1">
      <c r="A57" s="394">
        <v>2002</v>
      </c>
      <c r="B57" s="394" t="s">
        <v>616</v>
      </c>
      <c r="C57" s="394" t="s">
        <v>910</v>
      </c>
      <c r="D57" s="395">
        <v>1</v>
      </c>
      <c r="F57" s="349" t="s">
        <v>1626</v>
      </c>
      <c r="G57" s="350">
        <v>0</v>
      </c>
      <c r="H57" s="351">
        <v>8688</v>
      </c>
      <c r="I57" s="352">
        <v>-100</v>
      </c>
      <c r="J57" s="350">
        <v>0</v>
      </c>
      <c r="K57" s="353">
        <v>0</v>
      </c>
      <c r="L57" s="350">
        <v>-48845</v>
      </c>
      <c r="M57" s="352">
        <v>-562.212246777164</v>
      </c>
      <c r="N57" s="350">
        <v>0</v>
      </c>
      <c r="O57" s="352">
        <v>0</v>
      </c>
      <c r="P57" s="350">
        <v>48845</v>
      </c>
      <c r="Q57" s="351">
        <v>48845</v>
      </c>
      <c r="R57" s="354">
        <v>0</v>
      </c>
      <c r="S57" s="350">
        <v>0</v>
      </c>
      <c r="T57" s="352">
        <v>0</v>
      </c>
      <c r="U57" s="351">
        <v>0</v>
      </c>
      <c r="V57" s="352">
        <v>0</v>
      </c>
      <c r="W57" s="350">
        <v>0</v>
      </c>
      <c r="X57" s="351">
        <v>0</v>
      </c>
      <c r="Y57" s="369">
        <v>0</v>
      </c>
      <c r="Z57" s="398">
        <v>44561</v>
      </c>
      <c r="AF57" s="381" t="s">
        <v>1626</v>
      </c>
      <c r="AG57" s="355">
        <v>0</v>
      </c>
      <c r="AH57" s="351">
        <v>113526</v>
      </c>
      <c r="AI57" s="356">
        <v>-100</v>
      </c>
      <c r="AJ57" s="355">
        <v>0</v>
      </c>
      <c r="AK57" s="353">
        <v>0</v>
      </c>
      <c r="AL57" s="355">
        <v>55993</v>
      </c>
      <c r="AM57" s="356">
        <v>49.3217412751264</v>
      </c>
      <c r="AN57" s="355">
        <v>0</v>
      </c>
      <c r="AO57" s="356">
        <v>0</v>
      </c>
      <c r="AP57" s="355">
        <v>-55993</v>
      </c>
      <c r="AQ57" s="351">
        <v>-55993</v>
      </c>
      <c r="AR57" s="357">
        <v>0</v>
      </c>
      <c r="AS57" s="355">
        <v>0</v>
      </c>
      <c r="AT57" s="356">
        <v>0</v>
      </c>
      <c r="AU57" s="351">
        <v>0</v>
      </c>
      <c r="AV57" s="356">
        <v>0</v>
      </c>
      <c r="AW57" s="355">
        <v>0</v>
      </c>
      <c r="AX57" s="351">
        <v>0</v>
      </c>
      <c r="AY57" s="369">
        <v>0</v>
      </c>
      <c r="AZ57" s="399">
        <v>44561</v>
      </c>
    </row>
    <row r="58" spans="1:52" ht="12.75" hidden="1" outlineLevel="1">
      <c r="A58" s="394">
        <v>2005</v>
      </c>
      <c r="B58" s="394" t="s">
        <v>616</v>
      </c>
      <c r="C58" s="394" t="s">
        <v>910</v>
      </c>
      <c r="D58" s="395">
        <v>1</v>
      </c>
      <c r="F58" s="349" t="s">
        <v>1627</v>
      </c>
      <c r="G58" s="350">
        <v>0</v>
      </c>
      <c r="H58" s="351">
        <v>0</v>
      </c>
      <c r="I58" s="352">
        <v>0</v>
      </c>
      <c r="J58" s="350">
        <v>0</v>
      </c>
      <c r="K58" s="353">
        <v>0</v>
      </c>
      <c r="L58" s="350">
        <v>35812.2</v>
      </c>
      <c r="M58" s="352">
        <v>0</v>
      </c>
      <c r="N58" s="350">
        <v>0</v>
      </c>
      <c r="O58" s="352">
        <v>0</v>
      </c>
      <c r="P58" s="350">
        <v>-35812.2</v>
      </c>
      <c r="Q58" s="351">
        <v>0</v>
      </c>
      <c r="R58" s="354">
        <v>0</v>
      </c>
      <c r="S58" s="350">
        <v>0</v>
      </c>
      <c r="T58" s="352">
        <v>0</v>
      </c>
      <c r="U58" s="351">
        <v>0</v>
      </c>
      <c r="V58" s="352">
        <v>0</v>
      </c>
      <c r="W58" s="350">
        <v>0</v>
      </c>
      <c r="X58" s="351">
        <v>0</v>
      </c>
      <c r="Y58" s="369">
        <v>0</v>
      </c>
      <c r="Z58" s="398">
        <v>44561</v>
      </c>
      <c r="AF58" s="381" t="s">
        <v>1627</v>
      </c>
      <c r="AG58" s="355">
        <v>0</v>
      </c>
      <c r="AH58" s="351">
        <v>123670</v>
      </c>
      <c r="AI58" s="356">
        <v>-100</v>
      </c>
      <c r="AJ58" s="355">
        <v>0</v>
      </c>
      <c r="AK58" s="353">
        <v>0</v>
      </c>
      <c r="AL58" s="355">
        <v>45462.2</v>
      </c>
      <c r="AM58" s="356">
        <v>36.76089593272418</v>
      </c>
      <c r="AN58" s="355">
        <v>0</v>
      </c>
      <c r="AO58" s="356">
        <v>0</v>
      </c>
      <c r="AP58" s="355">
        <v>-45462.2</v>
      </c>
      <c r="AQ58" s="351">
        <v>-45462.2</v>
      </c>
      <c r="AR58" s="357">
        <v>0</v>
      </c>
      <c r="AS58" s="355">
        <v>0</v>
      </c>
      <c r="AT58" s="356">
        <v>0</v>
      </c>
      <c r="AU58" s="351">
        <v>0</v>
      </c>
      <c r="AV58" s="356">
        <v>0</v>
      </c>
      <c r="AW58" s="355">
        <v>0</v>
      </c>
      <c r="AX58" s="351">
        <v>0</v>
      </c>
      <c r="AY58" s="369">
        <v>0</v>
      </c>
      <c r="AZ58" s="399">
        <v>44561</v>
      </c>
    </row>
    <row r="59" spans="1:52" ht="12.75" hidden="1" outlineLevel="1">
      <c r="A59" s="394">
        <v>2006</v>
      </c>
      <c r="B59" s="394" t="s">
        <v>616</v>
      </c>
      <c r="C59" s="394" t="s">
        <v>910</v>
      </c>
      <c r="D59" s="395">
        <v>1</v>
      </c>
      <c r="F59" s="349" t="s">
        <v>1628</v>
      </c>
      <c r="G59" s="350">
        <v>0</v>
      </c>
      <c r="H59" s="351">
        <v>0</v>
      </c>
      <c r="I59" s="352">
        <v>0</v>
      </c>
      <c r="J59" s="350">
        <v>0</v>
      </c>
      <c r="K59" s="353">
        <v>0</v>
      </c>
      <c r="L59" s="350">
        <v>-99207.23</v>
      </c>
      <c r="M59" s="352">
        <v>0</v>
      </c>
      <c r="N59" s="350">
        <v>0</v>
      </c>
      <c r="O59" s="352">
        <v>0</v>
      </c>
      <c r="P59" s="350">
        <v>99207.23</v>
      </c>
      <c r="Q59" s="351">
        <v>0</v>
      </c>
      <c r="R59" s="354">
        <v>0</v>
      </c>
      <c r="S59" s="350">
        <v>0</v>
      </c>
      <c r="T59" s="352">
        <v>0</v>
      </c>
      <c r="U59" s="351">
        <v>0</v>
      </c>
      <c r="V59" s="352">
        <v>0</v>
      </c>
      <c r="W59" s="350">
        <v>0</v>
      </c>
      <c r="X59" s="351">
        <v>0</v>
      </c>
      <c r="Y59" s="369">
        <v>0</v>
      </c>
      <c r="Z59" s="398">
        <v>44561</v>
      </c>
      <c r="AF59" s="381" t="s">
        <v>1628</v>
      </c>
      <c r="AG59" s="355">
        <v>0</v>
      </c>
      <c r="AH59" s="351">
        <v>19260.92</v>
      </c>
      <c r="AI59" s="356">
        <v>-100</v>
      </c>
      <c r="AJ59" s="355">
        <v>0</v>
      </c>
      <c r="AK59" s="353">
        <v>0</v>
      </c>
      <c r="AL59" s="355">
        <v>-93398.95</v>
      </c>
      <c r="AM59" s="356">
        <v>-484.91427200777537</v>
      </c>
      <c r="AN59" s="355">
        <v>0</v>
      </c>
      <c r="AO59" s="356">
        <v>0</v>
      </c>
      <c r="AP59" s="355">
        <v>93398.95</v>
      </c>
      <c r="AQ59" s="351">
        <v>93398.95</v>
      </c>
      <c r="AR59" s="357">
        <v>0</v>
      </c>
      <c r="AS59" s="355">
        <v>0</v>
      </c>
      <c r="AT59" s="356">
        <v>0</v>
      </c>
      <c r="AU59" s="351">
        <v>0</v>
      </c>
      <c r="AV59" s="356">
        <v>0</v>
      </c>
      <c r="AW59" s="355">
        <v>0</v>
      </c>
      <c r="AX59" s="351">
        <v>0</v>
      </c>
      <c r="AY59" s="369">
        <v>0</v>
      </c>
      <c r="AZ59" s="399">
        <v>44561</v>
      </c>
    </row>
    <row r="60" spans="1:52" ht="12.75" hidden="1" outlineLevel="1">
      <c r="A60" s="394">
        <v>2405</v>
      </c>
      <c r="B60" s="394" t="s">
        <v>616</v>
      </c>
      <c r="C60" s="394" t="s">
        <v>910</v>
      </c>
      <c r="D60" s="395">
        <v>1</v>
      </c>
      <c r="F60" s="349" t="s">
        <v>1629</v>
      </c>
      <c r="G60" s="350">
        <v>0</v>
      </c>
      <c r="H60" s="351">
        <v>0</v>
      </c>
      <c r="I60" s="352">
        <v>0</v>
      </c>
      <c r="J60" s="350">
        <v>0</v>
      </c>
      <c r="K60" s="353">
        <v>0</v>
      </c>
      <c r="L60" s="350">
        <v>-2343.84</v>
      </c>
      <c r="M60" s="352">
        <v>0</v>
      </c>
      <c r="N60" s="350">
        <v>0</v>
      </c>
      <c r="O60" s="352">
        <v>0</v>
      </c>
      <c r="P60" s="350">
        <v>2343.84</v>
      </c>
      <c r="Q60" s="351">
        <v>0</v>
      </c>
      <c r="R60" s="354">
        <v>0</v>
      </c>
      <c r="S60" s="350">
        <v>0</v>
      </c>
      <c r="T60" s="352">
        <v>0</v>
      </c>
      <c r="U60" s="351">
        <v>0</v>
      </c>
      <c r="V60" s="352">
        <v>0</v>
      </c>
      <c r="W60" s="350">
        <v>0</v>
      </c>
      <c r="X60" s="351">
        <v>0</v>
      </c>
      <c r="Y60" s="369">
        <v>0</v>
      </c>
      <c r="Z60" s="398">
        <v>44561</v>
      </c>
      <c r="AF60" s="381" t="s">
        <v>1629</v>
      </c>
      <c r="AG60" s="355">
        <v>0</v>
      </c>
      <c r="AH60" s="351">
        <v>21629.76</v>
      </c>
      <c r="AI60" s="356">
        <v>-100</v>
      </c>
      <c r="AJ60" s="355">
        <v>0</v>
      </c>
      <c r="AK60" s="353">
        <v>0</v>
      </c>
      <c r="AL60" s="355">
        <v>4011.8899999999976</v>
      </c>
      <c r="AM60" s="356">
        <v>18.54800977911913</v>
      </c>
      <c r="AN60" s="355">
        <v>0</v>
      </c>
      <c r="AO60" s="356">
        <v>0</v>
      </c>
      <c r="AP60" s="355">
        <v>-4011.8899999999976</v>
      </c>
      <c r="AQ60" s="351">
        <v>-4011.8899999999976</v>
      </c>
      <c r="AR60" s="357">
        <v>0</v>
      </c>
      <c r="AS60" s="355">
        <v>0</v>
      </c>
      <c r="AT60" s="356">
        <v>0</v>
      </c>
      <c r="AU60" s="351">
        <v>0</v>
      </c>
      <c r="AV60" s="356">
        <v>0</v>
      </c>
      <c r="AW60" s="355">
        <v>0</v>
      </c>
      <c r="AX60" s="351">
        <v>0</v>
      </c>
      <c r="AY60" s="369">
        <v>0</v>
      </c>
      <c r="AZ60" s="399">
        <v>44561</v>
      </c>
    </row>
    <row r="61" spans="1:52" ht="12.75" hidden="1" outlineLevel="1">
      <c r="A61" s="394">
        <v>2801</v>
      </c>
      <c r="B61" s="394" t="s">
        <v>616</v>
      </c>
      <c r="C61" s="394" t="s">
        <v>910</v>
      </c>
      <c r="D61" s="395">
        <v>1</v>
      </c>
      <c r="F61" s="349" t="s">
        <v>1630</v>
      </c>
      <c r="G61" s="350">
        <v>0</v>
      </c>
      <c r="H61" s="351">
        <v>0</v>
      </c>
      <c r="I61" s="352">
        <v>0</v>
      </c>
      <c r="J61" s="350">
        <v>0</v>
      </c>
      <c r="K61" s="353">
        <v>0</v>
      </c>
      <c r="L61" s="350">
        <v>-22782.24</v>
      </c>
      <c r="M61" s="352">
        <v>0</v>
      </c>
      <c r="N61" s="350">
        <v>0</v>
      </c>
      <c r="O61" s="352">
        <v>0</v>
      </c>
      <c r="P61" s="350">
        <v>22782.24</v>
      </c>
      <c r="Q61" s="351">
        <v>0</v>
      </c>
      <c r="R61" s="354">
        <v>0</v>
      </c>
      <c r="S61" s="350">
        <v>0</v>
      </c>
      <c r="T61" s="352">
        <v>0</v>
      </c>
      <c r="U61" s="351">
        <v>0</v>
      </c>
      <c r="V61" s="352">
        <v>0</v>
      </c>
      <c r="W61" s="350">
        <v>0</v>
      </c>
      <c r="X61" s="351">
        <v>0</v>
      </c>
      <c r="Y61" s="369">
        <v>0</v>
      </c>
      <c r="Z61" s="398">
        <v>44561</v>
      </c>
      <c r="AF61" s="381" t="s">
        <v>1630</v>
      </c>
      <c r="AG61" s="355">
        <v>0</v>
      </c>
      <c r="AH61" s="351">
        <v>23183.21</v>
      </c>
      <c r="AI61" s="356">
        <v>-100</v>
      </c>
      <c r="AJ61" s="355">
        <v>0</v>
      </c>
      <c r="AK61" s="353">
        <v>0</v>
      </c>
      <c r="AL61" s="355">
        <v>1927.6800000000003</v>
      </c>
      <c r="AM61" s="356">
        <v>8.314983127875736</v>
      </c>
      <c r="AN61" s="355">
        <v>0</v>
      </c>
      <c r="AO61" s="356">
        <v>0</v>
      </c>
      <c r="AP61" s="355">
        <v>-1927.6800000000003</v>
      </c>
      <c r="AQ61" s="351">
        <v>-1927.6800000000003</v>
      </c>
      <c r="AR61" s="357">
        <v>0</v>
      </c>
      <c r="AS61" s="355">
        <v>0</v>
      </c>
      <c r="AT61" s="356">
        <v>0</v>
      </c>
      <c r="AU61" s="351">
        <v>0</v>
      </c>
      <c r="AV61" s="356">
        <v>0</v>
      </c>
      <c r="AW61" s="355">
        <v>0</v>
      </c>
      <c r="AX61" s="351">
        <v>0</v>
      </c>
      <c r="AY61" s="369">
        <v>0</v>
      </c>
      <c r="AZ61" s="399">
        <v>44561</v>
      </c>
    </row>
    <row r="62" spans="1:52" ht="12.75" hidden="1" outlineLevel="1">
      <c r="A62" s="394">
        <v>2802</v>
      </c>
      <c r="B62" s="394" t="s">
        <v>616</v>
      </c>
      <c r="C62" s="394" t="s">
        <v>910</v>
      </c>
      <c r="D62" s="395">
        <v>1</v>
      </c>
      <c r="F62" s="349" t="s">
        <v>1631</v>
      </c>
      <c r="G62" s="350">
        <v>0</v>
      </c>
      <c r="H62" s="351">
        <v>0</v>
      </c>
      <c r="I62" s="352">
        <v>0</v>
      </c>
      <c r="J62" s="350">
        <v>0</v>
      </c>
      <c r="K62" s="353">
        <v>0</v>
      </c>
      <c r="L62" s="350">
        <v>-4615.83</v>
      </c>
      <c r="M62" s="352">
        <v>0</v>
      </c>
      <c r="N62" s="350">
        <v>0</v>
      </c>
      <c r="O62" s="352">
        <v>0</v>
      </c>
      <c r="P62" s="350">
        <v>4615.83</v>
      </c>
      <c r="Q62" s="351">
        <v>0</v>
      </c>
      <c r="R62" s="354">
        <v>0</v>
      </c>
      <c r="S62" s="350">
        <v>0</v>
      </c>
      <c r="T62" s="352">
        <v>0</v>
      </c>
      <c r="U62" s="351">
        <v>0</v>
      </c>
      <c r="V62" s="352">
        <v>0</v>
      </c>
      <c r="W62" s="350">
        <v>0</v>
      </c>
      <c r="X62" s="351">
        <v>0</v>
      </c>
      <c r="Y62" s="369">
        <v>0</v>
      </c>
      <c r="Z62" s="398">
        <v>44561</v>
      </c>
      <c r="AF62" s="381" t="s">
        <v>1631</v>
      </c>
      <c r="AG62" s="355">
        <v>0</v>
      </c>
      <c r="AH62" s="351">
        <v>48870.4</v>
      </c>
      <c r="AI62" s="356">
        <v>-100</v>
      </c>
      <c r="AJ62" s="355">
        <v>0</v>
      </c>
      <c r="AK62" s="353">
        <v>0</v>
      </c>
      <c r="AL62" s="355">
        <v>18990.52</v>
      </c>
      <c r="AM62" s="356">
        <v>38.85894119958093</v>
      </c>
      <c r="AN62" s="355">
        <v>0</v>
      </c>
      <c r="AO62" s="356">
        <v>0</v>
      </c>
      <c r="AP62" s="355">
        <v>-18990.52</v>
      </c>
      <c r="AQ62" s="351">
        <v>-18990.52</v>
      </c>
      <c r="AR62" s="357">
        <v>0</v>
      </c>
      <c r="AS62" s="355">
        <v>0</v>
      </c>
      <c r="AT62" s="356">
        <v>0</v>
      </c>
      <c r="AU62" s="351">
        <v>0</v>
      </c>
      <c r="AV62" s="356">
        <v>0</v>
      </c>
      <c r="AW62" s="355">
        <v>0</v>
      </c>
      <c r="AX62" s="351">
        <v>0</v>
      </c>
      <c r="AY62" s="369">
        <v>0</v>
      </c>
      <c r="AZ62" s="399">
        <v>44561</v>
      </c>
    </row>
    <row r="63" spans="1:52" ht="12.75" hidden="1" outlineLevel="1">
      <c r="A63" s="394">
        <v>2803</v>
      </c>
      <c r="B63" s="394" t="s">
        <v>616</v>
      </c>
      <c r="C63" s="394" t="s">
        <v>910</v>
      </c>
      <c r="D63" s="395">
        <v>1</v>
      </c>
      <c r="F63" s="349" t="s">
        <v>1632</v>
      </c>
      <c r="G63" s="350">
        <v>0</v>
      </c>
      <c r="H63" s="351">
        <v>0</v>
      </c>
      <c r="I63" s="352">
        <v>0</v>
      </c>
      <c r="J63" s="350">
        <v>0</v>
      </c>
      <c r="K63" s="353">
        <v>0</v>
      </c>
      <c r="L63" s="350">
        <v>-7382.43</v>
      </c>
      <c r="M63" s="352">
        <v>0</v>
      </c>
      <c r="N63" s="350">
        <v>0</v>
      </c>
      <c r="O63" s="352">
        <v>0</v>
      </c>
      <c r="P63" s="350">
        <v>7382.43</v>
      </c>
      <c r="Q63" s="351">
        <v>0</v>
      </c>
      <c r="R63" s="354">
        <v>0</v>
      </c>
      <c r="S63" s="350">
        <v>0</v>
      </c>
      <c r="T63" s="352">
        <v>0</v>
      </c>
      <c r="U63" s="351">
        <v>0</v>
      </c>
      <c r="V63" s="352">
        <v>0</v>
      </c>
      <c r="W63" s="350">
        <v>0</v>
      </c>
      <c r="X63" s="351">
        <v>0</v>
      </c>
      <c r="Y63" s="369">
        <v>0</v>
      </c>
      <c r="Z63" s="398">
        <v>44561</v>
      </c>
      <c r="AF63" s="381" t="s">
        <v>1632</v>
      </c>
      <c r="AG63" s="355">
        <v>0</v>
      </c>
      <c r="AH63" s="351">
        <v>7506</v>
      </c>
      <c r="AI63" s="356">
        <v>-100</v>
      </c>
      <c r="AJ63" s="355">
        <v>0</v>
      </c>
      <c r="AK63" s="353">
        <v>0</v>
      </c>
      <c r="AL63" s="355">
        <v>-4045.4700000000007</v>
      </c>
      <c r="AM63" s="356">
        <v>-53.89648281374901</v>
      </c>
      <c r="AN63" s="355">
        <v>0</v>
      </c>
      <c r="AO63" s="356">
        <v>0</v>
      </c>
      <c r="AP63" s="355">
        <v>4045.4700000000007</v>
      </c>
      <c r="AQ63" s="351">
        <v>4045.470000000001</v>
      </c>
      <c r="AR63" s="357">
        <v>0</v>
      </c>
      <c r="AS63" s="355">
        <v>0</v>
      </c>
      <c r="AT63" s="356">
        <v>0</v>
      </c>
      <c r="AU63" s="351">
        <v>0</v>
      </c>
      <c r="AV63" s="356">
        <v>0</v>
      </c>
      <c r="AW63" s="355">
        <v>0</v>
      </c>
      <c r="AX63" s="351">
        <v>0</v>
      </c>
      <c r="AY63" s="369">
        <v>0</v>
      </c>
      <c r="AZ63" s="399">
        <v>44561</v>
      </c>
    </row>
    <row r="64" spans="1:52" ht="12.75" hidden="1" outlineLevel="1">
      <c r="A64" s="394">
        <v>2804</v>
      </c>
      <c r="B64" s="394" t="s">
        <v>616</v>
      </c>
      <c r="C64" s="394" t="s">
        <v>910</v>
      </c>
      <c r="D64" s="395">
        <v>1</v>
      </c>
      <c r="F64" s="349" t="s">
        <v>1633</v>
      </c>
      <c r="G64" s="350">
        <v>0</v>
      </c>
      <c r="H64" s="351">
        <v>0</v>
      </c>
      <c r="I64" s="352">
        <v>0</v>
      </c>
      <c r="J64" s="350">
        <v>0</v>
      </c>
      <c r="K64" s="353">
        <v>0</v>
      </c>
      <c r="L64" s="350">
        <v>-2450.2</v>
      </c>
      <c r="M64" s="352">
        <v>0</v>
      </c>
      <c r="N64" s="350">
        <v>0</v>
      </c>
      <c r="O64" s="352">
        <v>0</v>
      </c>
      <c r="P64" s="350">
        <v>2450.2</v>
      </c>
      <c r="Q64" s="351">
        <v>0</v>
      </c>
      <c r="R64" s="354">
        <v>0</v>
      </c>
      <c r="S64" s="350">
        <v>0</v>
      </c>
      <c r="T64" s="352">
        <v>0</v>
      </c>
      <c r="U64" s="351">
        <v>0</v>
      </c>
      <c r="V64" s="352">
        <v>0</v>
      </c>
      <c r="W64" s="350">
        <v>0</v>
      </c>
      <c r="X64" s="351">
        <v>0</v>
      </c>
      <c r="Y64" s="369">
        <v>0</v>
      </c>
      <c r="Z64" s="398">
        <v>44561</v>
      </c>
      <c r="AF64" s="381" t="s">
        <v>1633</v>
      </c>
      <c r="AG64" s="355">
        <v>0</v>
      </c>
      <c r="AH64" s="351">
        <v>0</v>
      </c>
      <c r="AI64" s="356">
        <v>0</v>
      </c>
      <c r="AJ64" s="355">
        <v>0</v>
      </c>
      <c r="AK64" s="353">
        <v>0</v>
      </c>
      <c r="AL64" s="355">
        <v>-2450.2</v>
      </c>
      <c r="AM64" s="356">
        <v>0</v>
      </c>
      <c r="AN64" s="355">
        <v>0</v>
      </c>
      <c r="AO64" s="356">
        <v>0</v>
      </c>
      <c r="AP64" s="355">
        <v>2450.2</v>
      </c>
      <c r="AQ64" s="351">
        <v>0</v>
      </c>
      <c r="AR64" s="357">
        <v>0</v>
      </c>
      <c r="AS64" s="355">
        <v>0</v>
      </c>
      <c r="AT64" s="356">
        <v>0</v>
      </c>
      <c r="AU64" s="351">
        <v>0</v>
      </c>
      <c r="AV64" s="356">
        <v>0</v>
      </c>
      <c r="AW64" s="355">
        <v>0</v>
      </c>
      <c r="AX64" s="351">
        <v>0</v>
      </c>
      <c r="AY64" s="369">
        <v>0</v>
      </c>
      <c r="AZ64" s="399">
        <v>44561</v>
      </c>
    </row>
    <row r="65" spans="1:52" ht="12.75" hidden="1" outlineLevel="1">
      <c r="A65" s="394">
        <v>2805</v>
      </c>
      <c r="B65" s="394" t="s">
        <v>616</v>
      </c>
      <c r="C65" s="394" t="s">
        <v>910</v>
      </c>
      <c r="D65" s="395">
        <v>1</v>
      </c>
      <c r="F65" s="349" t="s">
        <v>1634</v>
      </c>
      <c r="G65" s="350">
        <v>0</v>
      </c>
      <c r="H65" s="351">
        <v>0</v>
      </c>
      <c r="I65" s="352">
        <v>0</v>
      </c>
      <c r="J65" s="350">
        <v>0</v>
      </c>
      <c r="K65" s="353">
        <v>0</v>
      </c>
      <c r="L65" s="350">
        <v>5856.27</v>
      </c>
      <c r="M65" s="352">
        <v>0</v>
      </c>
      <c r="N65" s="350">
        <v>0</v>
      </c>
      <c r="O65" s="352">
        <v>0</v>
      </c>
      <c r="P65" s="350">
        <v>-5856.27</v>
      </c>
      <c r="Q65" s="351">
        <v>0</v>
      </c>
      <c r="R65" s="354">
        <v>0</v>
      </c>
      <c r="S65" s="350">
        <v>0</v>
      </c>
      <c r="T65" s="352">
        <v>0</v>
      </c>
      <c r="U65" s="351">
        <v>0</v>
      </c>
      <c r="V65" s="352">
        <v>0</v>
      </c>
      <c r="W65" s="350">
        <v>0</v>
      </c>
      <c r="X65" s="351">
        <v>0</v>
      </c>
      <c r="Y65" s="369">
        <v>0</v>
      </c>
      <c r="Z65" s="398">
        <v>44561</v>
      </c>
      <c r="AF65" s="381" t="s">
        <v>1634</v>
      </c>
      <c r="AG65" s="355">
        <v>0</v>
      </c>
      <c r="AH65" s="351">
        <v>57322.28</v>
      </c>
      <c r="AI65" s="356">
        <v>-100</v>
      </c>
      <c r="AJ65" s="355">
        <v>0</v>
      </c>
      <c r="AK65" s="353">
        <v>0</v>
      </c>
      <c r="AL65" s="355">
        <v>33493.14</v>
      </c>
      <c r="AM65" s="356">
        <v>58.42953211212115</v>
      </c>
      <c r="AN65" s="355">
        <v>0</v>
      </c>
      <c r="AO65" s="356">
        <v>0</v>
      </c>
      <c r="AP65" s="355">
        <v>-33493.14</v>
      </c>
      <c r="AQ65" s="351">
        <v>-33493.14</v>
      </c>
      <c r="AR65" s="357">
        <v>0</v>
      </c>
      <c r="AS65" s="355">
        <v>0</v>
      </c>
      <c r="AT65" s="356">
        <v>0</v>
      </c>
      <c r="AU65" s="351">
        <v>0</v>
      </c>
      <c r="AV65" s="356">
        <v>0</v>
      </c>
      <c r="AW65" s="355">
        <v>0</v>
      </c>
      <c r="AX65" s="351">
        <v>0</v>
      </c>
      <c r="AY65" s="369">
        <v>0</v>
      </c>
      <c r="AZ65" s="399">
        <v>44561</v>
      </c>
    </row>
    <row r="66" spans="1:52" ht="12.75" hidden="1" outlineLevel="1">
      <c r="A66" s="394">
        <v>2806</v>
      </c>
      <c r="B66" s="394" t="s">
        <v>616</v>
      </c>
      <c r="C66" s="394" t="s">
        <v>910</v>
      </c>
      <c r="D66" s="395">
        <v>1</v>
      </c>
      <c r="F66" s="349" t="s">
        <v>1635</v>
      </c>
      <c r="G66" s="350">
        <v>0</v>
      </c>
      <c r="H66" s="351">
        <v>0</v>
      </c>
      <c r="I66" s="352">
        <v>0</v>
      </c>
      <c r="J66" s="350">
        <v>0</v>
      </c>
      <c r="K66" s="353">
        <v>0</v>
      </c>
      <c r="L66" s="350">
        <v>13542.31</v>
      </c>
      <c r="M66" s="352">
        <v>0</v>
      </c>
      <c r="N66" s="350">
        <v>0</v>
      </c>
      <c r="O66" s="352">
        <v>0</v>
      </c>
      <c r="P66" s="350">
        <v>-13542.31</v>
      </c>
      <c r="Q66" s="351">
        <v>0</v>
      </c>
      <c r="R66" s="354">
        <v>0</v>
      </c>
      <c r="S66" s="350">
        <v>0</v>
      </c>
      <c r="T66" s="352">
        <v>0</v>
      </c>
      <c r="U66" s="351">
        <v>0</v>
      </c>
      <c r="V66" s="352">
        <v>0</v>
      </c>
      <c r="W66" s="350">
        <v>0</v>
      </c>
      <c r="X66" s="351">
        <v>0</v>
      </c>
      <c r="Y66" s="369">
        <v>0</v>
      </c>
      <c r="Z66" s="398">
        <v>44561</v>
      </c>
      <c r="AF66" s="381" t="s">
        <v>1635</v>
      </c>
      <c r="AG66" s="355">
        <v>0</v>
      </c>
      <c r="AH66" s="351">
        <v>49555.52</v>
      </c>
      <c r="AI66" s="356">
        <v>-100</v>
      </c>
      <c r="AJ66" s="355">
        <v>0</v>
      </c>
      <c r="AK66" s="353">
        <v>0</v>
      </c>
      <c r="AL66" s="355">
        <v>37004.38</v>
      </c>
      <c r="AM66" s="356">
        <v>74.67256927179858</v>
      </c>
      <c r="AN66" s="355">
        <v>0</v>
      </c>
      <c r="AO66" s="356">
        <v>0</v>
      </c>
      <c r="AP66" s="355">
        <v>-37004.38</v>
      </c>
      <c r="AQ66" s="351">
        <v>-37004.38</v>
      </c>
      <c r="AR66" s="357">
        <v>0</v>
      </c>
      <c r="AS66" s="355">
        <v>0</v>
      </c>
      <c r="AT66" s="356">
        <v>0</v>
      </c>
      <c r="AU66" s="351">
        <v>0</v>
      </c>
      <c r="AV66" s="356">
        <v>0</v>
      </c>
      <c r="AW66" s="355">
        <v>0</v>
      </c>
      <c r="AX66" s="351">
        <v>0</v>
      </c>
      <c r="AY66" s="369">
        <v>0</v>
      </c>
      <c r="AZ66" s="399">
        <v>44561</v>
      </c>
    </row>
    <row r="67" spans="1:52" ht="12.75" hidden="1" outlineLevel="1">
      <c r="A67" s="394">
        <v>2901</v>
      </c>
      <c r="B67" s="394" t="s">
        <v>616</v>
      </c>
      <c r="C67" s="394" t="s">
        <v>910</v>
      </c>
      <c r="D67" s="395">
        <v>1</v>
      </c>
      <c r="F67" s="349" t="s">
        <v>1636</v>
      </c>
      <c r="G67" s="350">
        <v>0</v>
      </c>
      <c r="H67" s="351">
        <v>0</v>
      </c>
      <c r="I67" s="352">
        <v>0</v>
      </c>
      <c r="J67" s="350">
        <v>0</v>
      </c>
      <c r="K67" s="353">
        <v>0</v>
      </c>
      <c r="L67" s="350">
        <v>-22944.03</v>
      </c>
      <c r="M67" s="352">
        <v>0</v>
      </c>
      <c r="N67" s="350">
        <v>0</v>
      </c>
      <c r="O67" s="352">
        <v>0</v>
      </c>
      <c r="P67" s="350">
        <v>22944.03</v>
      </c>
      <c r="Q67" s="351">
        <v>0</v>
      </c>
      <c r="R67" s="354">
        <v>0</v>
      </c>
      <c r="S67" s="350">
        <v>0</v>
      </c>
      <c r="T67" s="352">
        <v>0</v>
      </c>
      <c r="U67" s="351">
        <v>0</v>
      </c>
      <c r="V67" s="352">
        <v>0</v>
      </c>
      <c r="W67" s="350">
        <v>0</v>
      </c>
      <c r="X67" s="351">
        <v>0</v>
      </c>
      <c r="Y67" s="369">
        <v>0</v>
      </c>
      <c r="Z67" s="398">
        <v>44561</v>
      </c>
      <c r="AF67" s="381" t="s">
        <v>1636</v>
      </c>
      <c r="AG67" s="355">
        <v>0</v>
      </c>
      <c r="AH67" s="351">
        <v>143138.36</v>
      </c>
      <c r="AI67" s="356">
        <v>-100</v>
      </c>
      <c r="AJ67" s="355">
        <v>0</v>
      </c>
      <c r="AK67" s="353">
        <v>0</v>
      </c>
      <c r="AL67" s="355">
        <v>20728.16999999999</v>
      </c>
      <c r="AM67" s="356">
        <v>14.481212443680361</v>
      </c>
      <c r="AN67" s="355">
        <v>0</v>
      </c>
      <c r="AO67" s="356">
        <v>0</v>
      </c>
      <c r="AP67" s="355">
        <v>-20728.16999999999</v>
      </c>
      <c r="AQ67" s="351">
        <v>-20728.16999999999</v>
      </c>
      <c r="AR67" s="357">
        <v>0</v>
      </c>
      <c r="AS67" s="355">
        <v>0</v>
      </c>
      <c r="AT67" s="356">
        <v>0</v>
      </c>
      <c r="AU67" s="351">
        <v>0</v>
      </c>
      <c r="AV67" s="356">
        <v>0</v>
      </c>
      <c r="AW67" s="355">
        <v>0</v>
      </c>
      <c r="AX67" s="351">
        <v>0</v>
      </c>
      <c r="AY67" s="369">
        <v>0</v>
      </c>
      <c r="AZ67" s="399">
        <v>44561</v>
      </c>
    </row>
    <row r="68" spans="1:52" ht="12.75" hidden="1" outlineLevel="1">
      <c r="A68" s="394">
        <v>2902</v>
      </c>
      <c r="B68" s="394" t="s">
        <v>616</v>
      </c>
      <c r="C68" s="394" t="s">
        <v>910</v>
      </c>
      <c r="D68" s="395">
        <v>1</v>
      </c>
      <c r="F68" s="349" t="s">
        <v>1637</v>
      </c>
      <c r="G68" s="350">
        <v>0</v>
      </c>
      <c r="H68" s="351">
        <v>0</v>
      </c>
      <c r="I68" s="352">
        <v>0</v>
      </c>
      <c r="J68" s="350">
        <v>0</v>
      </c>
      <c r="K68" s="353">
        <v>0</v>
      </c>
      <c r="L68" s="350">
        <v>-1197.95</v>
      </c>
      <c r="M68" s="352">
        <v>0</v>
      </c>
      <c r="N68" s="350">
        <v>0</v>
      </c>
      <c r="O68" s="352">
        <v>0</v>
      </c>
      <c r="P68" s="350">
        <v>1197.95</v>
      </c>
      <c r="Q68" s="351">
        <v>0</v>
      </c>
      <c r="R68" s="354">
        <v>0</v>
      </c>
      <c r="S68" s="350">
        <v>0</v>
      </c>
      <c r="T68" s="352">
        <v>0</v>
      </c>
      <c r="U68" s="351">
        <v>0</v>
      </c>
      <c r="V68" s="352">
        <v>0</v>
      </c>
      <c r="W68" s="350">
        <v>0</v>
      </c>
      <c r="X68" s="351">
        <v>0</v>
      </c>
      <c r="Y68" s="369">
        <v>0</v>
      </c>
      <c r="Z68" s="398">
        <v>44561</v>
      </c>
      <c r="AF68" s="381" t="s">
        <v>1637</v>
      </c>
      <c r="AG68" s="355">
        <v>0</v>
      </c>
      <c r="AH68" s="351">
        <v>743.49</v>
      </c>
      <c r="AI68" s="356">
        <v>-100</v>
      </c>
      <c r="AJ68" s="355">
        <v>0</v>
      </c>
      <c r="AK68" s="353">
        <v>0</v>
      </c>
      <c r="AL68" s="355">
        <v>-992.75</v>
      </c>
      <c r="AM68" s="356">
        <v>-133.5256694777334</v>
      </c>
      <c r="AN68" s="355">
        <v>0</v>
      </c>
      <c r="AO68" s="356">
        <v>0</v>
      </c>
      <c r="AP68" s="355">
        <v>992.75</v>
      </c>
      <c r="AQ68" s="351">
        <v>992.75</v>
      </c>
      <c r="AR68" s="357">
        <v>0</v>
      </c>
      <c r="AS68" s="355">
        <v>0</v>
      </c>
      <c r="AT68" s="356">
        <v>0</v>
      </c>
      <c r="AU68" s="351">
        <v>0</v>
      </c>
      <c r="AV68" s="356">
        <v>0</v>
      </c>
      <c r="AW68" s="355">
        <v>0</v>
      </c>
      <c r="AX68" s="351">
        <v>0</v>
      </c>
      <c r="AY68" s="369">
        <v>0</v>
      </c>
      <c r="AZ68" s="399">
        <v>44561</v>
      </c>
    </row>
    <row r="69" spans="1:52" ht="12.75" hidden="1" outlineLevel="1">
      <c r="A69" s="394">
        <v>2903</v>
      </c>
      <c r="B69" s="394" t="s">
        <v>616</v>
      </c>
      <c r="C69" s="394" t="s">
        <v>910</v>
      </c>
      <c r="D69" s="395">
        <v>1</v>
      </c>
      <c r="F69" s="349" t="s">
        <v>1638</v>
      </c>
      <c r="G69" s="350">
        <v>0</v>
      </c>
      <c r="H69" s="351">
        <v>0</v>
      </c>
      <c r="I69" s="352">
        <v>0</v>
      </c>
      <c r="J69" s="350">
        <v>0</v>
      </c>
      <c r="K69" s="353">
        <v>0</v>
      </c>
      <c r="L69" s="350">
        <v>1008.81</v>
      </c>
      <c r="M69" s="352">
        <v>0</v>
      </c>
      <c r="N69" s="350">
        <v>0</v>
      </c>
      <c r="O69" s="352">
        <v>0</v>
      </c>
      <c r="P69" s="350">
        <v>-1008.81</v>
      </c>
      <c r="Q69" s="351">
        <v>0</v>
      </c>
      <c r="R69" s="354">
        <v>0</v>
      </c>
      <c r="S69" s="350">
        <v>0</v>
      </c>
      <c r="T69" s="352">
        <v>0</v>
      </c>
      <c r="U69" s="351">
        <v>0</v>
      </c>
      <c r="V69" s="352">
        <v>0</v>
      </c>
      <c r="W69" s="350">
        <v>0</v>
      </c>
      <c r="X69" s="351">
        <v>0</v>
      </c>
      <c r="Y69" s="369">
        <v>0</v>
      </c>
      <c r="Z69" s="398">
        <v>44561</v>
      </c>
      <c r="AF69" s="381" t="s">
        <v>1638</v>
      </c>
      <c r="AG69" s="355">
        <v>0</v>
      </c>
      <c r="AH69" s="351">
        <v>10798.48</v>
      </c>
      <c r="AI69" s="356">
        <v>-100</v>
      </c>
      <c r="AJ69" s="355">
        <v>0</v>
      </c>
      <c r="AK69" s="353">
        <v>0</v>
      </c>
      <c r="AL69" s="355">
        <v>3989.25</v>
      </c>
      <c r="AM69" s="356">
        <v>36.942699342870476</v>
      </c>
      <c r="AN69" s="355">
        <v>0</v>
      </c>
      <c r="AO69" s="356">
        <v>0</v>
      </c>
      <c r="AP69" s="355">
        <v>-3989.25</v>
      </c>
      <c r="AQ69" s="351">
        <v>-3989.25</v>
      </c>
      <c r="AR69" s="357">
        <v>0</v>
      </c>
      <c r="AS69" s="355">
        <v>0</v>
      </c>
      <c r="AT69" s="356">
        <v>0</v>
      </c>
      <c r="AU69" s="351">
        <v>0</v>
      </c>
      <c r="AV69" s="356">
        <v>0</v>
      </c>
      <c r="AW69" s="355">
        <v>0</v>
      </c>
      <c r="AX69" s="351">
        <v>0</v>
      </c>
      <c r="AY69" s="369">
        <v>0</v>
      </c>
      <c r="AZ69" s="399">
        <v>44561</v>
      </c>
    </row>
    <row r="70" spans="1:52" ht="12.75" hidden="1" outlineLevel="1">
      <c r="A70" s="394">
        <v>2904</v>
      </c>
      <c r="B70" s="394" t="s">
        <v>616</v>
      </c>
      <c r="C70" s="394" t="s">
        <v>910</v>
      </c>
      <c r="D70" s="395">
        <v>1</v>
      </c>
      <c r="F70" s="349" t="s">
        <v>529</v>
      </c>
      <c r="G70" s="350">
        <v>0</v>
      </c>
      <c r="H70" s="351">
        <v>0</v>
      </c>
      <c r="I70" s="352">
        <v>0</v>
      </c>
      <c r="J70" s="350">
        <v>0</v>
      </c>
      <c r="K70" s="353">
        <v>0</v>
      </c>
      <c r="L70" s="350">
        <v>-3499.41</v>
      </c>
      <c r="M70" s="352">
        <v>0</v>
      </c>
      <c r="N70" s="350">
        <v>0</v>
      </c>
      <c r="O70" s="352">
        <v>0</v>
      </c>
      <c r="P70" s="350">
        <v>3499.41</v>
      </c>
      <c r="Q70" s="351">
        <v>0</v>
      </c>
      <c r="R70" s="354">
        <v>0</v>
      </c>
      <c r="S70" s="350">
        <v>0</v>
      </c>
      <c r="T70" s="352">
        <v>0</v>
      </c>
      <c r="U70" s="351">
        <v>0</v>
      </c>
      <c r="V70" s="352">
        <v>0</v>
      </c>
      <c r="W70" s="350">
        <v>0</v>
      </c>
      <c r="X70" s="351">
        <v>0</v>
      </c>
      <c r="Y70" s="369">
        <v>0</v>
      </c>
      <c r="Z70" s="398">
        <v>44561</v>
      </c>
      <c r="AF70" s="381" t="s">
        <v>529</v>
      </c>
      <c r="AG70" s="355">
        <v>0</v>
      </c>
      <c r="AH70" s="351">
        <v>45768.8</v>
      </c>
      <c r="AI70" s="356">
        <v>-100</v>
      </c>
      <c r="AJ70" s="355">
        <v>0</v>
      </c>
      <c r="AK70" s="353">
        <v>0</v>
      </c>
      <c r="AL70" s="355">
        <v>9191.410000000003</v>
      </c>
      <c r="AM70" s="356">
        <v>20.082261278425484</v>
      </c>
      <c r="AN70" s="355">
        <v>0</v>
      </c>
      <c r="AO70" s="356">
        <v>0</v>
      </c>
      <c r="AP70" s="355">
        <v>-9191.410000000003</v>
      </c>
      <c r="AQ70" s="351">
        <v>-9191.410000000003</v>
      </c>
      <c r="AR70" s="357">
        <v>0</v>
      </c>
      <c r="AS70" s="355">
        <v>0</v>
      </c>
      <c r="AT70" s="356">
        <v>0</v>
      </c>
      <c r="AU70" s="351">
        <v>0</v>
      </c>
      <c r="AV70" s="356">
        <v>0</v>
      </c>
      <c r="AW70" s="355">
        <v>0</v>
      </c>
      <c r="AX70" s="351">
        <v>0</v>
      </c>
      <c r="AY70" s="369">
        <v>0</v>
      </c>
      <c r="AZ70" s="399">
        <v>44561</v>
      </c>
    </row>
    <row r="71" spans="1:52" ht="12.75" hidden="1" outlineLevel="1">
      <c r="A71" s="394">
        <v>2905</v>
      </c>
      <c r="B71" s="394" t="s">
        <v>616</v>
      </c>
      <c r="C71" s="394" t="s">
        <v>910</v>
      </c>
      <c r="D71" s="395">
        <v>1</v>
      </c>
      <c r="F71" s="349" t="s">
        <v>1639</v>
      </c>
      <c r="G71" s="350">
        <v>0</v>
      </c>
      <c r="H71" s="351">
        <v>0</v>
      </c>
      <c r="I71" s="352">
        <v>0</v>
      </c>
      <c r="J71" s="350">
        <v>0</v>
      </c>
      <c r="K71" s="353">
        <v>0</v>
      </c>
      <c r="L71" s="350">
        <v>-1160.36</v>
      </c>
      <c r="M71" s="352">
        <v>0</v>
      </c>
      <c r="N71" s="350">
        <v>0</v>
      </c>
      <c r="O71" s="352">
        <v>0</v>
      </c>
      <c r="P71" s="350">
        <v>1160.36</v>
      </c>
      <c r="Q71" s="351">
        <v>0</v>
      </c>
      <c r="R71" s="354">
        <v>0</v>
      </c>
      <c r="S71" s="350">
        <v>0</v>
      </c>
      <c r="T71" s="352">
        <v>0</v>
      </c>
      <c r="U71" s="351">
        <v>0</v>
      </c>
      <c r="V71" s="352">
        <v>0</v>
      </c>
      <c r="W71" s="350">
        <v>0</v>
      </c>
      <c r="X71" s="351">
        <v>0</v>
      </c>
      <c r="Y71" s="369">
        <v>0</v>
      </c>
      <c r="Z71" s="398">
        <v>44561</v>
      </c>
      <c r="AF71" s="381" t="s">
        <v>1639</v>
      </c>
      <c r="AG71" s="355">
        <v>0</v>
      </c>
      <c r="AH71" s="351">
        <v>134.7</v>
      </c>
      <c r="AI71" s="356">
        <v>-100</v>
      </c>
      <c r="AJ71" s="355">
        <v>0</v>
      </c>
      <c r="AK71" s="353">
        <v>0</v>
      </c>
      <c r="AL71" s="355">
        <v>-1291.3</v>
      </c>
      <c r="AM71" s="356">
        <v>-958.6488492947291</v>
      </c>
      <c r="AN71" s="355">
        <v>0</v>
      </c>
      <c r="AO71" s="356">
        <v>0</v>
      </c>
      <c r="AP71" s="355">
        <v>1291.3</v>
      </c>
      <c r="AQ71" s="351">
        <v>1291.3</v>
      </c>
      <c r="AR71" s="357">
        <v>0</v>
      </c>
      <c r="AS71" s="355">
        <v>0</v>
      </c>
      <c r="AT71" s="356">
        <v>0</v>
      </c>
      <c r="AU71" s="351">
        <v>0</v>
      </c>
      <c r="AV71" s="356">
        <v>0</v>
      </c>
      <c r="AW71" s="355">
        <v>0</v>
      </c>
      <c r="AX71" s="351">
        <v>0</v>
      </c>
      <c r="AY71" s="369">
        <v>0</v>
      </c>
      <c r="AZ71" s="399">
        <v>44561</v>
      </c>
    </row>
    <row r="72" spans="1:52" ht="12.75" hidden="1" outlineLevel="1">
      <c r="A72" s="394">
        <v>17010</v>
      </c>
      <c r="B72" s="394" t="s">
        <v>616</v>
      </c>
      <c r="C72" s="394" t="s">
        <v>910</v>
      </c>
      <c r="D72" s="395">
        <v>1</v>
      </c>
      <c r="F72" s="349" t="s">
        <v>643</v>
      </c>
      <c r="G72" s="350">
        <v>11571.66</v>
      </c>
      <c r="H72" s="351">
        <v>14063.1</v>
      </c>
      <c r="I72" s="352">
        <v>-17.716150777566828</v>
      </c>
      <c r="J72" s="350">
        <v>-32511.62</v>
      </c>
      <c r="K72" s="353">
        <v>-280.95899810398856</v>
      </c>
      <c r="L72" s="350">
        <v>19106.73</v>
      </c>
      <c r="M72" s="352">
        <v>135.86428312392005</v>
      </c>
      <c r="N72" s="350">
        <v>-32511.62</v>
      </c>
      <c r="O72" s="352">
        <v>-280.95899810398856</v>
      </c>
      <c r="P72" s="350">
        <v>-51618.35</v>
      </c>
      <c r="Q72" s="351">
        <v>-3384.977095462594</v>
      </c>
      <c r="R72" s="354">
        <v>-48233.3729045374</v>
      </c>
      <c r="S72" s="350">
        <v>0</v>
      </c>
      <c r="T72" s="352">
        <v>0</v>
      </c>
      <c r="U72" s="351">
        <v>0</v>
      </c>
      <c r="V72" s="352">
        <v>0</v>
      </c>
      <c r="W72" s="350">
        <v>24500</v>
      </c>
      <c r="X72" s="351">
        <v>-32662.53</v>
      </c>
      <c r="Y72" s="369">
        <v>65.63448977934021</v>
      </c>
      <c r="Z72" s="398">
        <v>44926</v>
      </c>
      <c r="AF72" s="381" t="s">
        <v>643</v>
      </c>
      <c r="AG72" s="355">
        <v>121452.24</v>
      </c>
      <c r="AH72" s="351">
        <v>33325.33</v>
      </c>
      <c r="AI72" s="356">
        <v>264.4442230579562</v>
      </c>
      <c r="AJ72" s="355">
        <v>8116.370000000013</v>
      </c>
      <c r="AK72" s="353">
        <v>6.682766822579816</v>
      </c>
      <c r="AL72" s="355">
        <v>28342.32</v>
      </c>
      <c r="AM72" s="356">
        <v>85.0473798759082</v>
      </c>
      <c r="AN72" s="355">
        <v>19626.20000000001</v>
      </c>
      <c r="AO72" s="356">
        <v>16.159603149353202</v>
      </c>
      <c r="AP72" s="355">
        <v>-20225.949999999986</v>
      </c>
      <c r="AQ72" s="351">
        <v>74949.62792059974</v>
      </c>
      <c r="AR72" s="357">
        <v>-95175.57792059971</v>
      </c>
      <c r="AS72" s="355">
        <v>0</v>
      </c>
      <c r="AT72" s="356">
        <v>0</v>
      </c>
      <c r="AU72" s="351">
        <v>11509.829999999998</v>
      </c>
      <c r="AV72" s="356">
        <v>9.476836326773386</v>
      </c>
      <c r="AW72" s="355">
        <v>24500</v>
      </c>
      <c r="AX72" s="351">
        <v>3900</v>
      </c>
      <c r="AY72" s="369">
        <v>73.62976590633487</v>
      </c>
      <c r="AZ72" s="399">
        <v>44926</v>
      </c>
    </row>
    <row r="73" spans="1:52" ht="12.75" hidden="1" outlineLevel="1">
      <c r="A73" s="394">
        <v>17011</v>
      </c>
      <c r="B73" s="394" t="s">
        <v>616</v>
      </c>
      <c r="C73" s="394" t="s">
        <v>910</v>
      </c>
      <c r="D73" s="395">
        <v>1</v>
      </c>
      <c r="F73" s="349" t="s">
        <v>644</v>
      </c>
      <c r="G73" s="350">
        <v>4254.56</v>
      </c>
      <c r="H73" s="351">
        <v>6667.44</v>
      </c>
      <c r="I73" s="352">
        <v>-36.189002075759205</v>
      </c>
      <c r="J73" s="350">
        <v>-664.9499999999998</v>
      </c>
      <c r="K73" s="353">
        <v>-15.629113233800906</v>
      </c>
      <c r="L73" s="350">
        <v>17242.06</v>
      </c>
      <c r="M73" s="352">
        <v>258.6009022953338</v>
      </c>
      <c r="N73" s="350">
        <v>-664.9499999999998</v>
      </c>
      <c r="O73" s="352">
        <v>-15.629113233800906</v>
      </c>
      <c r="P73" s="350">
        <v>-17907.010000000002</v>
      </c>
      <c r="Q73" s="351">
        <v>-6239.729451303648</v>
      </c>
      <c r="R73" s="354">
        <v>-11667.280548696353</v>
      </c>
      <c r="S73" s="350">
        <v>0</v>
      </c>
      <c r="T73" s="352">
        <v>0</v>
      </c>
      <c r="U73" s="351">
        <v>0</v>
      </c>
      <c r="V73" s="352">
        <v>0</v>
      </c>
      <c r="W73" s="350">
        <v>17800</v>
      </c>
      <c r="X73" s="351">
        <v>-3722.58</v>
      </c>
      <c r="Y73" s="369">
        <v>129.6961377909819</v>
      </c>
      <c r="Z73" s="398">
        <v>44926</v>
      </c>
      <c r="AF73" s="381" t="s">
        <v>644</v>
      </c>
      <c r="AG73" s="355">
        <v>54972.8</v>
      </c>
      <c r="AH73" s="351">
        <v>16681.52</v>
      </c>
      <c r="AI73" s="356">
        <v>229.54311117931695</v>
      </c>
      <c r="AJ73" s="355">
        <v>20580</v>
      </c>
      <c r="AK73" s="353">
        <v>37.436695966005004</v>
      </c>
      <c r="AL73" s="355">
        <v>20816.08</v>
      </c>
      <c r="AM73" s="356">
        <v>124.7852713661585</v>
      </c>
      <c r="AN73" s="355">
        <v>20580</v>
      </c>
      <c r="AO73" s="356">
        <v>37.436695966005004</v>
      </c>
      <c r="AP73" s="355">
        <v>-236.08000000000175</v>
      </c>
      <c r="AQ73" s="351">
        <v>47781.87765757557</v>
      </c>
      <c r="AR73" s="357">
        <v>-48017.95765757558</v>
      </c>
      <c r="AS73" s="355">
        <v>0</v>
      </c>
      <c r="AT73" s="356">
        <v>0</v>
      </c>
      <c r="AU73" s="351">
        <v>0</v>
      </c>
      <c r="AV73" s="356">
        <v>0</v>
      </c>
      <c r="AW73" s="355">
        <v>17800</v>
      </c>
      <c r="AX73" s="351">
        <v>3100</v>
      </c>
      <c r="AY73" s="369">
        <v>118.18572093835496</v>
      </c>
      <c r="AZ73" s="399">
        <v>44926</v>
      </c>
    </row>
    <row r="74" spans="1:52" ht="12.75" hidden="1" outlineLevel="1">
      <c r="A74" s="394">
        <v>17012</v>
      </c>
      <c r="B74" s="394" t="s">
        <v>616</v>
      </c>
      <c r="C74" s="394" t="s">
        <v>910</v>
      </c>
      <c r="D74" s="395">
        <v>1</v>
      </c>
      <c r="F74" s="349" t="s">
        <v>645</v>
      </c>
      <c r="G74" s="350">
        <v>4928</v>
      </c>
      <c r="H74" s="351">
        <v>15594.4</v>
      </c>
      <c r="I74" s="352">
        <v>-68.39891243010311</v>
      </c>
      <c r="J74" s="350">
        <v>5660.89</v>
      </c>
      <c r="K74" s="353">
        <v>114.87195616883118</v>
      </c>
      <c r="L74" s="350">
        <v>22219.07</v>
      </c>
      <c r="M74" s="352">
        <v>142.48108295285488</v>
      </c>
      <c r="N74" s="350">
        <v>5660.89</v>
      </c>
      <c r="O74" s="352">
        <v>114.87195616883118</v>
      </c>
      <c r="P74" s="350">
        <v>-16558.18</v>
      </c>
      <c r="Q74" s="351">
        <v>-15197.60223208331</v>
      </c>
      <c r="R74" s="354">
        <v>-1360.5777679166877</v>
      </c>
      <c r="S74" s="350">
        <v>0</v>
      </c>
      <c r="T74" s="352">
        <v>0</v>
      </c>
      <c r="U74" s="351">
        <v>0</v>
      </c>
      <c r="V74" s="352">
        <v>0</v>
      </c>
      <c r="W74" s="350">
        <v>3900</v>
      </c>
      <c r="X74" s="351">
        <v>4410.69</v>
      </c>
      <c r="Y74" s="369">
        <v>24.53327922077922</v>
      </c>
      <c r="Z74" s="398">
        <v>44926</v>
      </c>
      <c r="AF74" s="381" t="s">
        <v>645</v>
      </c>
      <c r="AG74" s="355">
        <v>86517.6</v>
      </c>
      <c r="AH74" s="351">
        <v>28882.4</v>
      </c>
      <c r="AI74" s="356">
        <v>199.5512838268288</v>
      </c>
      <c r="AJ74" s="355">
        <v>48787.69</v>
      </c>
      <c r="AK74" s="353">
        <v>56.390480087288594</v>
      </c>
      <c r="AL74" s="355">
        <v>29270.120000000003</v>
      </c>
      <c r="AM74" s="356">
        <v>101.34240921807053</v>
      </c>
      <c r="AN74" s="355">
        <v>48787.69</v>
      </c>
      <c r="AO74" s="356">
        <v>56.390480087288594</v>
      </c>
      <c r="AP74" s="355">
        <v>19517.57</v>
      </c>
      <c r="AQ74" s="351">
        <v>58408.90023765338</v>
      </c>
      <c r="AR74" s="357">
        <v>-38891.33023765338</v>
      </c>
      <c r="AS74" s="355">
        <v>0</v>
      </c>
      <c r="AT74" s="356">
        <v>0</v>
      </c>
      <c r="AU74" s="351">
        <v>0</v>
      </c>
      <c r="AV74" s="356">
        <v>0</v>
      </c>
      <c r="AW74" s="355">
        <v>3900</v>
      </c>
      <c r="AX74" s="351">
        <v>-4000</v>
      </c>
      <c r="AY74" s="369">
        <v>16.45329967544176</v>
      </c>
      <c r="AZ74" s="399">
        <v>44926</v>
      </c>
    </row>
    <row r="75" spans="1:52" ht="12.75" hidden="1" outlineLevel="1">
      <c r="A75" s="394">
        <v>17013</v>
      </c>
      <c r="B75" s="394" t="s">
        <v>616</v>
      </c>
      <c r="C75" s="394" t="s">
        <v>910</v>
      </c>
      <c r="D75" s="395">
        <v>1</v>
      </c>
      <c r="F75" s="349" t="s">
        <v>646</v>
      </c>
      <c r="G75" s="350">
        <v>9847</v>
      </c>
      <c r="H75" s="351">
        <v>2120</v>
      </c>
      <c r="I75" s="352">
        <v>364.4811320754717</v>
      </c>
      <c r="J75" s="350">
        <v>31379.02</v>
      </c>
      <c r="K75" s="353">
        <v>318.66578653396977</v>
      </c>
      <c r="L75" s="350">
        <v>4332</v>
      </c>
      <c r="M75" s="352">
        <v>204.33962264150944</v>
      </c>
      <c r="N75" s="350">
        <v>23012.02</v>
      </c>
      <c r="O75" s="352">
        <v>233.69574489692292</v>
      </c>
      <c r="P75" s="350">
        <v>27047.02</v>
      </c>
      <c r="Q75" s="351">
        <v>15789.322641509432</v>
      </c>
      <c r="R75" s="354">
        <v>11257.697358490568</v>
      </c>
      <c r="S75" s="350">
        <v>0</v>
      </c>
      <c r="T75" s="352">
        <v>0</v>
      </c>
      <c r="U75" s="351">
        <v>-8367</v>
      </c>
      <c r="V75" s="352">
        <v>-84.97004163704682</v>
      </c>
      <c r="W75" s="350">
        <v>0</v>
      </c>
      <c r="X75" s="351">
        <v>21532.02</v>
      </c>
      <c r="Y75" s="369">
        <v>0</v>
      </c>
      <c r="Z75" s="398">
        <v>44926</v>
      </c>
      <c r="AF75" s="381" t="s">
        <v>646</v>
      </c>
      <c r="AG75" s="355">
        <v>114365</v>
      </c>
      <c r="AH75" s="351">
        <v>7800</v>
      </c>
      <c r="AI75" s="356">
        <v>1366.2179487179487</v>
      </c>
      <c r="AJ75" s="355">
        <v>114365</v>
      </c>
      <c r="AK75" s="353">
        <v>100</v>
      </c>
      <c r="AL75" s="355">
        <v>7800</v>
      </c>
      <c r="AM75" s="356">
        <v>100</v>
      </c>
      <c r="AN75" s="355">
        <v>34760</v>
      </c>
      <c r="AO75" s="356">
        <v>30.393914222008483</v>
      </c>
      <c r="AP75" s="355">
        <v>106565</v>
      </c>
      <c r="AQ75" s="351">
        <v>106565</v>
      </c>
      <c r="AR75" s="357">
        <v>0</v>
      </c>
      <c r="AS75" s="355">
        <v>0</v>
      </c>
      <c r="AT75" s="356">
        <v>0</v>
      </c>
      <c r="AU75" s="351">
        <v>-79605</v>
      </c>
      <c r="AV75" s="356">
        <v>-69.60608577799152</v>
      </c>
      <c r="AW75" s="355">
        <v>0</v>
      </c>
      <c r="AX75" s="351">
        <v>0</v>
      </c>
      <c r="AY75" s="369">
        <v>0</v>
      </c>
      <c r="AZ75" s="399">
        <v>44926</v>
      </c>
    </row>
    <row r="76" spans="1:52" ht="12.75" hidden="1" outlineLevel="1">
      <c r="A76" s="394">
        <v>17014</v>
      </c>
      <c r="B76" s="394" t="s">
        <v>616</v>
      </c>
      <c r="C76" s="394" t="s">
        <v>910</v>
      </c>
      <c r="D76" s="395">
        <v>1</v>
      </c>
      <c r="F76" s="349" t="s">
        <v>1640</v>
      </c>
      <c r="G76" s="350">
        <v>8376</v>
      </c>
      <c r="H76" s="351">
        <v>8644</v>
      </c>
      <c r="I76" s="352">
        <v>-3.100416473854697</v>
      </c>
      <c r="J76" s="350">
        <v>88573</v>
      </c>
      <c r="K76" s="353">
        <v>1057.4617956064947</v>
      </c>
      <c r="L76" s="350">
        <v>30851.3</v>
      </c>
      <c r="M76" s="352">
        <v>356.90999537251275</v>
      </c>
      <c r="N76" s="350">
        <v>88573</v>
      </c>
      <c r="O76" s="352">
        <v>1057.4617956064947</v>
      </c>
      <c r="P76" s="350">
        <v>57721.7</v>
      </c>
      <c r="Q76" s="351">
        <v>-956.5187875983341</v>
      </c>
      <c r="R76" s="354">
        <v>58678.21878759834</v>
      </c>
      <c r="S76" s="350">
        <v>0</v>
      </c>
      <c r="T76" s="352">
        <v>0</v>
      </c>
      <c r="U76" s="351">
        <v>0</v>
      </c>
      <c r="V76" s="352">
        <v>0</v>
      </c>
      <c r="W76" s="350">
        <v>11000</v>
      </c>
      <c r="X76" s="351">
        <v>81835</v>
      </c>
      <c r="Y76" s="369">
        <v>40.71155682903534</v>
      </c>
      <c r="Z76" s="398">
        <v>44926</v>
      </c>
      <c r="AF76" s="381" t="s">
        <v>1640</v>
      </c>
      <c r="AG76" s="355">
        <v>101711</v>
      </c>
      <c r="AH76" s="351">
        <v>26288</v>
      </c>
      <c r="AI76" s="356">
        <v>286.91037735849056</v>
      </c>
      <c r="AJ76" s="355">
        <v>94970</v>
      </c>
      <c r="AK76" s="353">
        <v>93.3723982656743</v>
      </c>
      <c r="AL76" s="355">
        <v>33692.5</v>
      </c>
      <c r="AM76" s="356">
        <v>128.16684418746195</v>
      </c>
      <c r="AN76" s="355">
        <v>94970</v>
      </c>
      <c r="AO76" s="356">
        <v>93.3723982656743</v>
      </c>
      <c r="AP76" s="355">
        <v>61277.5</v>
      </c>
      <c r="AQ76" s="351">
        <v>96667.27889150943</v>
      </c>
      <c r="AR76" s="357">
        <v>-35389.77889150943</v>
      </c>
      <c r="AS76" s="355">
        <v>0</v>
      </c>
      <c r="AT76" s="356">
        <v>0</v>
      </c>
      <c r="AU76" s="351">
        <v>0</v>
      </c>
      <c r="AV76" s="356">
        <v>0</v>
      </c>
      <c r="AW76" s="355">
        <v>11000</v>
      </c>
      <c r="AX76" s="351">
        <v>1800</v>
      </c>
      <c r="AY76" s="369">
        <v>39.474589769051526</v>
      </c>
      <c r="AZ76" s="399">
        <v>44926</v>
      </c>
    </row>
    <row r="77" spans="1:52" ht="12.75" collapsed="1">
      <c r="A77" s="394">
        <v>170</v>
      </c>
      <c r="B77" s="394" t="s">
        <v>627</v>
      </c>
      <c r="C77" s="394" t="s">
        <v>910</v>
      </c>
      <c r="D77" s="395">
        <v>2</v>
      </c>
      <c r="F77" s="349" t="s">
        <v>515</v>
      </c>
      <c r="G77" s="350">
        <v>38977.22</v>
      </c>
      <c r="H77" s="351">
        <v>55776.939999999995</v>
      </c>
      <c r="I77" s="352">
        <v>-30.119472312392894</v>
      </c>
      <c r="J77" s="350">
        <v>92436.34</v>
      </c>
      <c r="K77" s="353">
        <v>237.1547791248324</v>
      </c>
      <c r="L77" s="350">
        <v>-66457.77000000002</v>
      </c>
      <c r="M77" s="352">
        <v>-119.14918602562283</v>
      </c>
      <c r="N77" s="350">
        <v>84069.34</v>
      </c>
      <c r="O77" s="352">
        <v>215.68839440062683</v>
      </c>
      <c r="P77" s="350">
        <v>158894.11000000002</v>
      </c>
      <c r="Q77" s="351">
        <v>20016.729634583753</v>
      </c>
      <c r="R77" s="354">
        <v>138877.38036541626</v>
      </c>
      <c r="S77" s="350">
        <v>0</v>
      </c>
      <c r="T77" s="352">
        <v>0</v>
      </c>
      <c r="U77" s="351">
        <v>-8367</v>
      </c>
      <c r="V77" s="352">
        <v>-21.466384724205575</v>
      </c>
      <c r="W77" s="350">
        <v>57200</v>
      </c>
      <c r="X77" s="351">
        <v>71392.6</v>
      </c>
      <c r="Y77" s="369">
        <v>45.49323938444045</v>
      </c>
      <c r="Z77" s="398">
        <v>44561</v>
      </c>
      <c r="AF77" s="381" t="s">
        <v>515</v>
      </c>
      <c r="AG77" s="355">
        <v>479018.64</v>
      </c>
      <c r="AH77" s="351">
        <v>778085.1699999999</v>
      </c>
      <c r="AI77" s="356">
        <v>-38.4362202919251</v>
      </c>
      <c r="AJ77" s="355">
        <v>286819.06</v>
      </c>
      <c r="AK77" s="353">
        <v>59.87638810882182</v>
      </c>
      <c r="AL77" s="355">
        <v>248533.98999999985</v>
      </c>
      <c r="AM77" s="356">
        <v>31.941746171566265</v>
      </c>
      <c r="AN77" s="355">
        <v>218723.89</v>
      </c>
      <c r="AO77" s="356">
        <v>45.66083065160053</v>
      </c>
      <c r="AP77" s="355">
        <v>38285.07000000015</v>
      </c>
      <c r="AQ77" s="351">
        <v>-95527.07189671104</v>
      </c>
      <c r="AR77" s="357">
        <v>133812.14189671123</v>
      </c>
      <c r="AS77" s="355">
        <v>0</v>
      </c>
      <c r="AT77" s="356">
        <v>0</v>
      </c>
      <c r="AU77" s="351">
        <v>-68095.16999999998</v>
      </c>
      <c r="AV77" s="356">
        <v>-14.215557457221285</v>
      </c>
      <c r="AW77" s="355">
        <v>57200</v>
      </c>
      <c r="AX77" s="351">
        <v>4800</v>
      </c>
      <c r="AY77" s="369">
        <v>43.58494274878322</v>
      </c>
      <c r="AZ77" s="399">
        <v>44561</v>
      </c>
    </row>
    <row r="78" spans="1:52" ht="12.75" hidden="1" outlineLevel="1">
      <c r="A78" s="394">
        <v>2201</v>
      </c>
      <c r="B78" s="394" t="s">
        <v>616</v>
      </c>
      <c r="C78" s="394" t="s">
        <v>910</v>
      </c>
      <c r="D78" s="395">
        <v>1</v>
      </c>
      <c r="F78" s="349" t="s">
        <v>1642</v>
      </c>
      <c r="G78" s="350">
        <v>0</v>
      </c>
      <c r="H78" s="351">
        <v>0</v>
      </c>
      <c r="I78" s="352">
        <v>0</v>
      </c>
      <c r="J78" s="350">
        <v>0</v>
      </c>
      <c r="K78" s="353">
        <v>0</v>
      </c>
      <c r="L78" s="350">
        <v>-88124.96</v>
      </c>
      <c r="M78" s="352">
        <v>0</v>
      </c>
      <c r="N78" s="350">
        <v>0</v>
      </c>
      <c r="O78" s="352">
        <v>0</v>
      </c>
      <c r="P78" s="350">
        <v>88124.96</v>
      </c>
      <c r="Q78" s="351">
        <v>0</v>
      </c>
      <c r="R78" s="354">
        <v>0</v>
      </c>
      <c r="S78" s="350">
        <v>0</v>
      </c>
      <c r="T78" s="352">
        <v>0</v>
      </c>
      <c r="U78" s="351">
        <v>0</v>
      </c>
      <c r="V78" s="352">
        <v>0</v>
      </c>
      <c r="W78" s="350">
        <v>0</v>
      </c>
      <c r="X78" s="351">
        <v>0</v>
      </c>
      <c r="Y78" s="369">
        <v>0</v>
      </c>
      <c r="Z78" s="398">
        <v>44561</v>
      </c>
      <c r="AF78" s="381" t="s">
        <v>1642</v>
      </c>
      <c r="AG78" s="355">
        <v>0</v>
      </c>
      <c r="AH78" s="351">
        <v>812456</v>
      </c>
      <c r="AI78" s="356">
        <v>-100</v>
      </c>
      <c r="AJ78" s="355">
        <v>0</v>
      </c>
      <c r="AK78" s="353">
        <v>0</v>
      </c>
      <c r="AL78" s="355">
        <v>104472.53000000003</v>
      </c>
      <c r="AM78" s="356">
        <v>12.85885389485708</v>
      </c>
      <c r="AN78" s="355">
        <v>0</v>
      </c>
      <c r="AO78" s="356">
        <v>0</v>
      </c>
      <c r="AP78" s="355">
        <v>-104472.53000000003</v>
      </c>
      <c r="AQ78" s="351">
        <v>-104472.53000000003</v>
      </c>
      <c r="AR78" s="357">
        <v>0</v>
      </c>
      <c r="AS78" s="355">
        <v>0</v>
      </c>
      <c r="AT78" s="356">
        <v>0</v>
      </c>
      <c r="AU78" s="351">
        <v>0</v>
      </c>
      <c r="AV78" s="356">
        <v>0</v>
      </c>
      <c r="AW78" s="355">
        <v>0</v>
      </c>
      <c r="AX78" s="351">
        <v>0</v>
      </c>
      <c r="AY78" s="369">
        <v>0</v>
      </c>
      <c r="AZ78" s="399">
        <v>44561</v>
      </c>
    </row>
    <row r="79" spans="1:52" ht="12.75" hidden="1" outlineLevel="1">
      <c r="A79" s="394">
        <v>2202</v>
      </c>
      <c r="B79" s="394" t="s">
        <v>616</v>
      </c>
      <c r="C79" s="394" t="s">
        <v>910</v>
      </c>
      <c r="D79" s="395">
        <v>1</v>
      </c>
      <c r="F79" s="349" t="s">
        <v>1643</v>
      </c>
      <c r="G79" s="350">
        <v>0</v>
      </c>
      <c r="H79" s="351">
        <v>0</v>
      </c>
      <c r="I79" s="352">
        <v>0</v>
      </c>
      <c r="J79" s="350">
        <v>0</v>
      </c>
      <c r="K79" s="353">
        <v>0</v>
      </c>
      <c r="L79" s="350">
        <v>-5611.56</v>
      </c>
      <c r="M79" s="352">
        <v>0</v>
      </c>
      <c r="N79" s="350">
        <v>0</v>
      </c>
      <c r="O79" s="352">
        <v>0</v>
      </c>
      <c r="P79" s="350">
        <v>5611.56</v>
      </c>
      <c r="Q79" s="351">
        <v>0</v>
      </c>
      <c r="R79" s="354">
        <v>0</v>
      </c>
      <c r="S79" s="350">
        <v>0</v>
      </c>
      <c r="T79" s="352">
        <v>0</v>
      </c>
      <c r="U79" s="351">
        <v>0</v>
      </c>
      <c r="V79" s="352">
        <v>0</v>
      </c>
      <c r="W79" s="350">
        <v>0</v>
      </c>
      <c r="X79" s="351">
        <v>0</v>
      </c>
      <c r="Y79" s="369">
        <v>0</v>
      </c>
      <c r="Z79" s="398">
        <v>44561</v>
      </c>
      <c r="AF79" s="381" t="s">
        <v>1643</v>
      </c>
      <c r="AG79" s="355">
        <v>0</v>
      </c>
      <c r="AH79" s="351">
        <v>40580</v>
      </c>
      <c r="AI79" s="356">
        <v>-100</v>
      </c>
      <c r="AJ79" s="355">
        <v>0</v>
      </c>
      <c r="AK79" s="353">
        <v>0</v>
      </c>
      <c r="AL79" s="355">
        <v>7131.8499999999985</v>
      </c>
      <c r="AM79" s="356">
        <v>17.574790537210447</v>
      </c>
      <c r="AN79" s="355">
        <v>0</v>
      </c>
      <c r="AO79" s="356">
        <v>0</v>
      </c>
      <c r="AP79" s="355">
        <v>-7131.8499999999985</v>
      </c>
      <c r="AQ79" s="351">
        <v>-7131.8499999999985</v>
      </c>
      <c r="AR79" s="357">
        <v>0</v>
      </c>
      <c r="AS79" s="355">
        <v>0</v>
      </c>
      <c r="AT79" s="356">
        <v>0</v>
      </c>
      <c r="AU79" s="351">
        <v>0</v>
      </c>
      <c r="AV79" s="356">
        <v>0</v>
      </c>
      <c r="AW79" s="355">
        <v>0</v>
      </c>
      <c r="AX79" s="351">
        <v>0</v>
      </c>
      <c r="AY79" s="369">
        <v>0</v>
      </c>
      <c r="AZ79" s="399">
        <v>44561</v>
      </c>
    </row>
    <row r="80" spans="1:52" ht="12.75" hidden="1" outlineLevel="1">
      <c r="A80" s="394">
        <v>2203</v>
      </c>
      <c r="B80" s="394" t="s">
        <v>616</v>
      </c>
      <c r="C80" s="394" t="s">
        <v>910</v>
      </c>
      <c r="D80" s="395">
        <v>1</v>
      </c>
      <c r="F80" s="349" t="s">
        <v>1644</v>
      </c>
      <c r="G80" s="350">
        <v>0</v>
      </c>
      <c r="H80" s="351">
        <v>0</v>
      </c>
      <c r="I80" s="352">
        <v>0</v>
      </c>
      <c r="J80" s="350">
        <v>0</v>
      </c>
      <c r="K80" s="353">
        <v>0</v>
      </c>
      <c r="L80" s="350">
        <v>-25838.73</v>
      </c>
      <c r="M80" s="352">
        <v>0</v>
      </c>
      <c r="N80" s="350">
        <v>0</v>
      </c>
      <c r="O80" s="352">
        <v>0</v>
      </c>
      <c r="P80" s="350">
        <v>25838.73</v>
      </c>
      <c r="Q80" s="351">
        <v>0</v>
      </c>
      <c r="R80" s="354">
        <v>0</v>
      </c>
      <c r="S80" s="350">
        <v>0</v>
      </c>
      <c r="T80" s="352">
        <v>0</v>
      </c>
      <c r="U80" s="351">
        <v>0</v>
      </c>
      <c r="V80" s="352">
        <v>0</v>
      </c>
      <c r="W80" s="350">
        <v>0</v>
      </c>
      <c r="X80" s="351">
        <v>0</v>
      </c>
      <c r="Y80" s="369">
        <v>0</v>
      </c>
      <c r="Z80" s="398">
        <v>44561</v>
      </c>
      <c r="AF80" s="381" t="s">
        <v>1644</v>
      </c>
      <c r="AG80" s="355">
        <v>0</v>
      </c>
      <c r="AH80" s="351">
        <v>240124</v>
      </c>
      <c r="AI80" s="356">
        <v>-100</v>
      </c>
      <c r="AJ80" s="355">
        <v>0</v>
      </c>
      <c r="AK80" s="353">
        <v>0</v>
      </c>
      <c r="AL80" s="355">
        <v>23219.97</v>
      </c>
      <c r="AM80" s="356">
        <v>9.6699913378088</v>
      </c>
      <c r="AN80" s="355">
        <v>0</v>
      </c>
      <c r="AO80" s="356">
        <v>0</v>
      </c>
      <c r="AP80" s="355">
        <v>-23219.97</v>
      </c>
      <c r="AQ80" s="351">
        <v>-23219.97</v>
      </c>
      <c r="AR80" s="357">
        <v>0</v>
      </c>
      <c r="AS80" s="355">
        <v>0</v>
      </c>
      <c r="AT80" s="356">
        <v>0</v>
      </c>
      <c r="AU80" s="351">
        <v>0</v>
      </c>
      <c r="AV80" s="356">
        <v>0</v>
      </c>
      <c r="AW80" s="355">
        <v>0</v>
      </c>
      <c r="AX80" s="351">
        <v>0</v>
      </c>
      <c r="AY80" s="369">
        <v>0</v>
      </c>
      <c r="AZ80" s="399">
        <v>44561</v>
      </c>
    </row>
    <row r="81" spans="1:52" ht="12.75" hidden="1" outlineLevel="1">
      <c r="A81" s="394">
        <v>2204</v>
      </c>
      <c r="B81" s="394" t="s">
        <v>616</v>
      </c>
      <c r="C81" s="394" t="s">
        <v>910</v>
      </c>
      <c r="D81" s="395">
        <v>1</v>
      </c>
      <c r="F81" s="349" t="s">
        <v>1645</v>
      </c>
      <c r="G81" s="350">
        <v>0</v>
      </c>
      <c r="H81" s="351">
        <v>0</v>
      </c>
      <c r="I81" s="352">
        <v>0</v>
      </c>
      <c r="J81" s="350">
        <v>0</v>
      </c>
      <c r="K81" s="353">
        <v>0</v>
      </c>
      <c r="L81" s="350">
        <v>-70649.17</v>
      </c>
      <c r="M81" s="352">
        <v>0</v>
      </c>
      <c r="N81" s="350">
        <v>0</v>
      </c>
      <c r="O81" s="352">
        <v>0</v>
      </c>
      <c r="P81" s="350">
        <v>70649.17</v>
      </c>
      <c r="Q81" s="351">
        <v>0</v>
      </c>
      <c r="R81" s="354">
        <v>0</v>
      </c>
      <c r="S81" s="350">
        <v>0</v>
      </c>
      <c r="T81" s="352">
        <v>0</v>
      </c>
      <c r="U81" s="351">
        <v>0</v>
      </c>
      <c r="V81" s="352">
        <v>0</v>
      </c>
      <c r="W81" s="350">
        <v>0</v>
      </c>
      <c r="X81" s="351">
        <v>0</v>
      </c>
      <c r="Y81" s="369">
        <v>0</v>
      </c>
      <c r="Z81" s="398">
        <v>44561</v>
      </c>
      <c r="AF81" s="381" t="s">
        <v>1645</v>
      </c>
      <c r="AG81" s="355">
        <v>0</v>
      </c>
      <c r="AH81" s="351">
        <v>641993.6</v>
      </c>
      <c r="AI81" s="356">
        <v>-100</v>
      </c>
      <c r="AJ81" s="355">
        <v>0</v>
      </c>
      <c r="AK81" s="353">
        <v>0</v>
      </c>
      <c r="AL81" s="355">
        <v>169108.32999999996</v>
      </c>
      <c r="AM81" s="356">
        <v>26.341123961360356</v>
      </c>
      <c r="AN81" s="355">
        <v>0</v>
      </c>
      <c r="AO81" s="356">
        <v>0</v>
      </c>
      <c r="AP81" s="355">
        <v>-169108.32999999996</v>
      </c>
      <c r="AQ81" s="351">
        <v>-169108.32999999996</v>
      </c>
      <c r="AR81" s="357">
        <v>0</v>
      </c>
      <c r="AS81" s="355">
        <v>0</v>
      </c>
      <c r="AT81" s="356">
        <v>0</v>
      </c>
      <c r="AU81" s="351">
        <v>0</v>
      </c>
      <c r="AV81" s="356">
        <v>0</v>
      </c>
      <c r="AW81" s="355">
        <v>0</v>
      </c>
      <c r="AX81" s="351">
        <v>0</v>
      </c>
      <c r="AY81" s="369">
        <v>0</v>
      </c>
      <c r="AZ81" s="399">
        <v>44561</v>
      </c>
    </row>
    <row r="82" spans="1:52" ht="12.75" hidden="1" outlineLevel="1">
      <c r="A82" s="394">
        <v>2205</v>
      </c>
      <c r="B82" s="394" t="s">
        <v>616</v>
      </c>
      <c r="C82" s="394" t="s">
        <v>910</v>
      </c>
      <c r="D82" s="395">
        <v>1</v>
      </c>
      <c r="F82" s="349" t="s">
        <v>1646</v>
      </c>
      <c r="G82" s="350">
        <v>0</v>
      </c>
      <c r="H82" s="351">
        <v>0</v>
      </c>
      <c r="I82" s="352">
        <v>0</v>
      </c>
      <c r="J82" s="350">
        <v>0</v>
      </c>
      <c r="K82" s="353">
        <v>0</v>
      </c>
      <c r="L82" s="350">
        <v>-3408.6</v>
      </c>
      <c r="M82" s="352">
        <v>0</v>
      </c>
      <c r="N82" s="350">
        <v>0</v>
      </c>
      <c r="O82" s="352">
        <v>0</v>
      </c>
      <c r="P82" s="350">
        <v>3408.6</v>
      </c>
      <c r="Q82" s="351">
        <v>0</v>
      </c>
      <c r="R82" s="354">
        <v>0</v>
      </c>
      <c r="S82" s="350">
        <v>0</v>
      </c>
      <c r="T82" s="352">
        <v>0</v>
      </c>
      <c r="U82" s="351">
        <v>0</v>
      </c>
      <c r="V82" s="352">
        <v>0</v>
      </c>
      <c r="W82" s="350">
        <v>0</v>
      </c>
      <c r="X82" s="351">
        <v>0</v>
      </c>
      <c r="Y82" s="369">
        <v>0</v>
      </c>
      <c r="Z82" s="398">
        <v>44561</v>
      </c>
      <c r="AF82" s="381" t="s">
        <v>1646</v>
      </c>
      <c r="AG82" s="355">
        <v>0</v>
      </c>
      <c r="AH82" s="351">
        <v>21962.4</v>
      </c>
      <c r="AI82" s="356">
        <v>-100</v>
      </c>
      <c r="AJ82" s="355">
        <v>0</v>
      </c>
      <c r="AK82" s="353">
        <v>0</v>
      </c>
      <c r="AL82" s="355">
        <v>15349.100000000002</v>
      </c>
      <c r="AM82" s="356">
        <v>69.88808144829345</v>
      </c>
      <c r="AN82" s="355">
        <v>0</v>
      </c>
      <c r="AO82" s="356">
        <v>0</v>
      </c>
      <c r="AP82" s="355">
        <v>-15349.100000000002</v>
      </c>
      <c r="AQ82" s="351">
        <v>-15349.100000000002</v>
      </c>
      <c r="AR82" s="357">
        <v>0</v>
      </c>
      <c r="AS82" s="355">
        <v>0</v>
      </c>
      <c r="AT82" s="356">
        <v>0</v>
      </c>
      <c r="AU82" s="351">
        <v>0</v>
      </c>
      <c r="AV82" s="356">
        <v>0</v>
      </c>
      <c r="AW82" s="355">
        <v>0</v>
      </c>
      <c r="AX82" s="351">
        <v>0</v>
      </c>
      <c r="AY82" s="369">
        <v>0</v>
      </c>
      <c r="AZ82" s="399">
        <v>44561</v>
      </c>
    </row>
    <row r="83" spans="1:52" ht="12.75" hidden="1" outlineLevel="1">
      <c r="A83" s="394">
        <v>2206</v>
      </c>
      <c r="B83" s="394" t="s">
        <v>616</v>
      </c>
      <c r="C83" s="394" t="s">
        <v>910</v>
      </c>
      <c r="D83" s="395">
        <v>1</v>
      </c>
      <c r="F83" s="349" t="s">
        <v>1647</v>
      </c>
      <c r="G83" s="350">
        <v>0</v>
      </c>
      <c r="H83" s="351">
        <v>0</v>
      </c>
      <c r="I83" s="352">
        <v>0</v>
      </c>
      <c r="J83" s="350">
        <v>0</v>
      </c>
      <c r="K83" s="353">
        <v>0</v>
      </c>
      <c r="L83" s="350">
        <v>-950.12</v>
      </c>
      <c r="M83" s="352">
        <v>0</v>
      </c>
      <c r="N83" s="350">
        <v>0</v>
      </c>
      <c r="O83" s="352">
        <v>0</v>
      </c>
      <c r="P83" s="350">
        <v>950.12</v>
      </c>
      <c r="Q83" s="351">
        <v>0</v>
      </c>
      <c r="R83" s="354">
        <v>0</v>
      </c>
      <c r="S83" s="350">
        <v>0</v>
      </c>
      <c r="T83" s="352">
        <v>0</v>
      </c>
      <c r="U83" s="351">
        <v>0</v>
      </c>
      <c r="V83" s="352">
        <v>0</v>
      </c>
      <c r="W83" s="350">
        <v>0</v>
      </c>
      <c r="X83" s="351">
        <v>0</v>
      </c>
      <c r="Y83" s="369">
        <v>0</v>
      </c>
      <c r="Z83" s="398">
        <v>44561</v>
      </c>
      <c r="AF83" s="381" t="s">
        <v>1647</v>
      </c>
      <c r="AG83" s="355">
        <v>0</v>
      </c>
      <c r="AH83" s="351">
        <v>21059.92</v>
      </c>
      <c r="AI83" s="356">
        <v>-100</v>
      </c>
      <c r="AJ83" s="355">
        <v>0</v>
      </c>
      <c r="AK83" s="353">
        <v>0</v>
      </c>
      <c r="AL83" s="355">
        <v>12356.659999999998</v>
      </c>
      <c r="AM83" s="356">
        <v>58.67382212278109</v>
      </c>
      <c r="AN83" s="355">
        <v>0</v>
      </c>
      <c r="AO83" s="356">
        <v>0</v>
      </c>
      <c r="AP83" s="355">
        <v>-12356.659999999998</v>
      </c>
      <c r="AQ83" s="351">
        <v>-12356.66</v>
      </c>
      <c r="AR83" s="357">
        <v>0</v>
      </c>
      <c r="AS83" s="355">
        <v>0</v>
      </c>
      <c r="AT83" s="356">
        <v>0</v>
      </c>
      <c r="AU83" s="351">
        <v>0</v>
      </c>
      <c r="AV83" s="356">
        <v>0</v>
      </c>
      <c r="AW83" s="355">
        <v>0</v>
      </c>
      <c r="AX83" s="351">
        <v>0</v>
      </c>
      <c r="AY83" s="369">
        <v>0</v>
      </c>
      <c r="AZ83" s="399">
        <v>44561</v>
      </c>
    </row>
    <row r="84" spans="1:52" ht="12.75" hidden="1" outlineLevel="1">
      <c r="A84" s="394">
        <v>18010</v>
      </c>
      <c r="B84" s="394" t="s">
        <v>616</v>
      </c>
      <c r="C84" s="394" t="s">
        <v>910</v>
      </c>
      <c r="D84" s="395">
        <v>1</v>
      </c>
      <c r="F84" s="349" t="s">
        <v>647</v>
      </c>
      <c r="G84" s="350">
        <v>50892</v>
      </c>
      <c r="H84" s="351">
        <v>57088</v>
      </c>
      <c r="I84" s="352">
        <v>-10.85341928251121</v>
      </c>
      <c r="J84" s="350">
        <v>-10954.779999999999</v>
      </c>
      <c r="K84" s="353">
        <v>-21.52554428986874</v>
      </c>
      <c r="L84" s="350">
        <v>96439.65</v>
      </c>
      <c r="M84" s="352">
        <v>168.93156179932734</v>
      </c>
      <c r="N84" s="350">
        <v>-10954.779999999999</v>
      </c>
      <c r="O84" s="352">
        <v>-21.52554428986874</v>
      </c>
      <c r="P84" s="350">
        <v>-107394.43</v>
      </c>
      <c r="Q84" s="351">
        <v>-10466.999569086322</v>
      </c>
      <c r="R84" s="354">
        <v>-96927.43043091366</v>
      </c>
      <c r="S84" s="350">
        <v>0</v>
      </c>
      <c r="T84" s="352">
        <v>0</v>
      </c>
      <c r="U84" s="351">
        <v>0</v>
      </c>
      <c r="V84" s="352">
        <v>0</v>
      </c>
      <c r="W84" s="350">
        <v>55000</v>
      </c>
      <c r="X84" s="351">
        <v>-2543.07</v>
      </c>
      <c r="Y84" s="369">
        <v>33.50231863554193</v>
      </c>
      <c r="Z84" s="398">
        <v>44926</v>
      </c>
      <c r="AF84" s="381" t="s">
        <v>647</v>
      </c>
      <c r="AG84" s="355">
        <v>698104.8</v>
      </c>
      <c r="AH84" s="351">
        <v>176996</v>
      </c>
      <c r="AI84" s="356">
        <v>294.41840493570476</v>
      </c>
      <c r="AJ84" s="355">
        <v>171158.01</v>
      </c>
      <c r="AK84" s="353">
        <v>24.51752372996146</v>
      </c>
      <c r="AL84" s="355">
        <v>131044.43</v>
      </c>
      <c r="AM84" s="356">
        <v>74.03807430676399</v>
      </c>
      <c r="AN84" s="355">
        <v>181448.65000000002</v>
      </c>
      <c r="AO84" s="356">
        <v>25.991606131343033</v>
      </c>
      <c r="AP84" s="355">
        <v>40113.580000000016</v>
      </c>
      <c r="AQ84" s="351">
        <v>385818.92056308617</v>
      </c>
      <c r="AR84" s="357">
        <v>-345705.34056308615</v>
      </c>
      <c r="AS84" s="355">
        <v>0</v>
      </c>
      <c r="AT84" s="356">
        <v>0</v>
      </c>
      <c r="AU84" s="351">
        <v>10290.640000000014</v>
      </c>
      <c r="AV84" s="356">
        <v>1.474082401381571</v>
      </c>
      <c r="AW84" s="355">
        <v>55000</v>
      </c>
      <c r="AX84" s="351">
        <v>-19000</v>
      </c>
      <c r="AY84" s="369">
        <v>28.756427401731084</v>
      </c>
      <c r="AZ84" s="399">
        <v>44926</v>
      </c>
    </row>
    <row r="85" spans="1:52" ht="12.75" hidden="1" outlineLevel="1">
      <c r="A85" s="394">
        <v>18011</v>
      </c>
      <c r="B85" s="394" t="s">
        <v>616</v>
      </c>
      <c r="C85" s="394" t="s">
        <v>910</v>
      </c>
      <c r="D85" s="395">
        <v>1</v>
      </c>
      <c r="F85" s="349" t="s">
        <v>648</v>
      </c>
      <c r="G85" s="350">
        <v>57148</v>
      </c>
      <c r="H85" s="351">
        <v>60972</v>
      </c>
      <c r="I85" s="352">
        <v>-6.271731286492161</v>
      </c>
      <c r="J85" s="350">
        <v>18159.809999999998</v>
      </c>
      <c r="K85" s="353">
        <v>31.776807587317137</v>
      </c>
      <c r="L85" s="350">
        <v>98419.08</v>
      </c>
      <c r="M85" s="352">
        <v>161.41684707734697</v>
      </c>
      <c r="N85" s="350">
        <v>18159.809999999998</v>
      </c>
      <c r="O85" s="352">
        <v>31.776807587317137</v>
      </c>
      <c r="P85" s="350">
        <v>-80259.27</v>
      </c>
      <c r="Q85" s="351">
        <v>-6172.5802322377485</v>
      </c>
      <c r="R85" s="354">
        <v>-74086.68976776226</v>
      </c>
      <c r="S85" s="350">
        <v>0</v>
      </c>
      <c r="T85" s="352">
        <v>0</v>
      </c>
      <c r="U85" s="351">
        <v>0</v>
      </c>
      <c r="V85" s="352">
        <v>0</v>
      </c>
      <c r="W85" s="350">
        <v>41800</v>
      </c>
      <c r="X85" s="351">
        <v>4587.4</v>
      </c>
      <c r="Y85" s="369">
        <v>22.67445929866312</v>
      </c>
      <c r="Z85" s="398">
        <v>44926</v>
      </c>
      <c r="AF85" s="381" t="s">
        <v>648</v>
      </c>
      <c r="AG85" s="355">
        <v>590270.4</v>
      </c>
      <c r="AH85" s="351">
        <v>165574.4</v>
      </c>
      <c r="AI85" s="356">
        <v>256.49858915387887</v>
      </c>
      <c r="AJ85" s="355">
        <v>196820.67</v>
      </c>
      <c r="AK85" s="353">
        <v>33.34415379798818</v>
      </c>
      <c r="AL85" s="355">
        <v>131089.77</v>
      </c>
      <c r="AM85" s="356">
        <v>79.17272839279501</v>
      </c>
      <c r="AN85" s="355">
        <v>196035.09000000003</v>
      </c>
      <c r="AO85" s="356">
        <v>33.21106564042514</v>
      </c>
      <c r="AP85" s="355">
        <v>65730.90000000002</v>
      </c>
      <c r="AQ85" s="351">
        <v>336243.4105750648</v>
      </c>
      <c r="AR85" s="357">
        <v>-270512.51057506475</v>
      </c>
      <c r="AS85" s="355">
        <v>0</v>
      </c>
      <c r="AT85" s="356">
        <v>0</v>
      </c>
      <c r="AU85" s="351">
        <v>-785.5799999999872</v>
      </c>
      <c r="AV85" s="356">
        <v>-0.13308815756304013</v>
      </c>
      <c r="AW85" s="355">
        <v>41800</v>
      </c>
      <c r="AX85" s="351">
        <v>-5500</v>
      </c>
      <c r="AY85" s="369">
        <v>25.84747600421773</v>
      </c>
      <c r="AZ85" s="399">
        <v>44926</v>
      </c>
    </row>
    <row r="86" spans="1:52" ht="12.75" hidden="1" outlineLevel="1">
      <c r="A86" s="394">
        <v>18012</v>
      </c>
      <c r="B86" s="394" t="s">
        <v>616</v>
      </c>
      <c r="C86" s="394" t="s">
        <v>910</v>
      </c>
      <c r="D86" s="395">
        <v>1</v>
      </c>
      <c r="F86" s="349" t="s">
        <v>649</v>
      </c>
      <c r="G86" s="350">
        <v>24431.2</v>
      </c>
      <c r="H86" s="351">
        <v>28256.8</v>
      </c>
      <c r="I86" s="352">
        <v>-13.538688032615154</v>
      </c>
      <c r="J86" s="350">
        <v>22401.18</v>
      </c>
      <c r="K86" s="353">
        <v>91.69087068993746</v>
      </c>
      <c r="L86" s="350">
        <v>44612.2</v>
      </c>
      <c r="M86" s="352">
        <v>157.8812887517341</v>
      </c>
      <c r="N86" s="350">
        <v>22401.18</v>
      </c>
      <c r="O86" s="352">
        <v>91.69087068993746</v>
      </c>
      <c r="P86" s="350">
        <v>-22211.019999999997</v>
      </c>
      <c r="Q86" s="351">
        <v>-6039.906582486336</v>
      </c>
      <c r="R86" s="354">
        <v>-16171.11341751366</v>
      </c>
      <c r="S86" s="350">
        <v>0</v>
      </c>
      <c r="T86" s="352">
        <v>0</v>
      </c>
      <c r="U86" s="351">
        <v>0</v>
      </c>
      <c r="V86" s="352">
        <v>0</v>
      </c>
      <c r="W86" s="350">
        <v>24900</v>
      </c>
      <c r="X86" s="351">
        <v>17492.79</v>
      </c>
      <c r="Y86" s="369">
        <v>31.59484593470644</v>
      </c>
      <c r="Z86" s="398">
        <v>44926</v>
      </c>
      <c r="AF86" s="381" t="s">
        <v>649</v>
      </c>
      <c r="AG86" s="355">
        <v>268350.4</v>
      </c>
      <c r="AH86" s="351">
        <v>73572</v>
      </c>
      <c r="AI86" s="356">
        <v>264.7452835317784</v>
      </c>
      <c r="AJ86" s="355">
        <v>108819.04000000004</v>
      </c>
      <c r="AK86" s="353">
        <v>40.551100352375116</v>
      </c>
      <c r="AL86" s="355">
        <v>57893.03</v>
      </c>
      <c r="AM86" s="356">
        <v>78.68894416354048</v>
      </c>
      <c r="AN86" s="355">
        <v>93361.66000000003</v>
      </c>
      <c r="AO86" s="356">
        <v>34.790952426379846</v>
      </c>
      <c r="AP86" s="355">
        <v>50926.01000000004</v>
      </c>
      <c r="AQ86" s="351">
        <v>153269.06641863755</v>
      </c>
      <c r="AR86" s="357">
        <v>-102343.0564186375</v>
      </c>
      <c r="AS86" s="355">
        <v>0</v>
      </c>
      <c r="AT86" s="356">
        <v>0</v>
      </c>
      <c r="AU86" s="351">
        <v>-15457.380000000005</v>
      </c>
      <c r="AV86" s="356">
        <v>-5.760147925995267</v>
      </c>
      <c r="AW86" s="355">
        <v>24900</v>
      </c>
      <c r="AX86" s="351">
        <v>7500</v>
      </c>
      <c r="AY86" s="369">
        <v>33.8680322444088</v>
      </c>
      <c r="AZ86" s="399">
        <v>44926</v>
      </c>
    </row>
    <row r="87" spans="1:52" ht="12.75" collapsed="1">
      <c r="A87" s="394">
        <v>180</v>
      </c>
      <c r="B87" s="394" t="s">
        <v>627</v>
      </c>
      <c r="C87" s="394" t="s">
        <v>910</v>
      </c>
      <c r="D87" s="395">
        <v>2</v>
      </c>
      <c r="F87" s="349" t="s">
        <v>516</v>
      </c>
      <c r="G87" s="350">
        <v>132471.2</v>
      </c>
      <c r="H87" s="351">
        <v>146316.8</v>
      </c>
      <c r="I87" s="352">
        <v>-9.462754789607192</v>
      </c>
      <c r="J87" s="350">
        <v>29606.21000000001</v>
      </c>
      <c r="K87" s="353">
        <v>22.349167215213576</v>
      </c>
      <c r="L87" s="350">
        <v>44887.78999999998</v>
      </c>
      <c r="M87" s="352">
        <v>30.678493515440458</v>
      </c>
      <c r="N87" s="350">
        <v>29606.210000000006</v>
      </c>
      <c r="O87" s="352">
        <v>22.349167215213573</v>
      </c>
      <c r="P87" s="350">
        <v>-15281.579999999969</v>
      </c>
      <c r="Q87" s="351">
        <v>-4247.621498173817</v>
      </c>
      <c r="R87" s="354">
        <v>-11033.958501826151</v>
      </c>
      <c r="S87" s="350">
        <v>0</v>
      </c>
      <c r="T87" s="352">
        <v>0</v>
      </c>
      <c r="U87" s="351">
        <v>-3.637978807091713E-12</v>
      </c>
      <c r="V87" s="352">
        <v>-2.7462413015747667E-15</v>
      </c>
      <c r="W87" s="350">
        <v>121700</v>
      </c>
      <c r="X87" s="351">
        <v>19537.12</v>
      </c>
      <c r="Y87" s="369">
        <v>28.47939778608482</v>
      </c>
      <c r="Z87" s="398">
        <v>44561</v>
      </c>
      <c r="AF87" s="381" t="s">
        <v>516</v>
      </c>
      <c r="AG87" s="355">
        <v>1556725.6</v>
      </c>
      <c r="AH87" s="351">
        <v>2194318.32</v>
      </c>
      <c r="AI87" s="356">
        <v>-29.05652813398558</v>
      </c>
      <c r="AJ87" s="355">
        <v>476797.72000000015</v>
      </c>
      <c r="AK87" s="353">
        <v>30.62824430972293</v>
      </c>
      <c r="AL87" s="355">
        <v>651665.6699999999</v>
      </c>
      <c r="AM87" s="356">
        <v>29.697863981739896</v>
      </c>
      <c r="AN87" s="355">
        <v>470845.40000000014</v>
      </c>
      <c r="AO87" s="356">
        <v>30.245882768292635</v>
      </c>
      <c r="AP87" s="355">
        <v>-174867.94999999978</v>
      </c>
      <c r="AQ87" s="351">
        <v>-189351.41874307563</v>
      </c>
      <c r="AR87" s="357">
        <v>14483.468743075831</v>
      </c>
      <c r="AS87" s="355">
        <v>0</v>
      </c>
      <c r="AT87" s="356">
        <v>0</v>
      </c>
      <c r="AU87" s="351">
        <v>-5952.320000000007</v>
      </c>
      <c r="AV87" s="356">
        <v>-0.3823615414302949</v>
      </c>
      <c r="AW87" s="355">
        <v>121700</v>
      </c>
      <c r="AX87" s="351">
        <v>-17000</v>
      </c>
      <c r="AY87" s="369">
        <v>28.534572823881096</v>
      </c>
      <c r="AZ87" s="399">
        <v>44561</v>
      </c>
    </row>
    <row r="88" spans="1:52" ht="12.75" hidden="1" outlineLevel="1">
      <c r="A88" s="394">
        <v>2401</v>
      </c>
      <c r="B88" s="394" t="s">
        <v>616</v>
      </c>
      <c r="C88" s="394" t="s">
        <v>910</v>
      </c>
      <c r="D88" s="395">
        <v>1</v>
      </c>
      <c r="F88" s="349" t="s">
        <v>1649</v>
      </c>
      <c r="G88" s="350">
        <v>0</v>
      </c>
      <c r="H88" s="351">
        <v>0</v>
      </c>
      <c r="I88" s="352">
        <v>0</v>
      </c>
      <c r="J88" s="350">
        <v>0</v>
      </c>
      <c r="K88" s="353">
        <v>0</v>
      </c>
      <c r="L88" s="350">
        <v>-35061.06</v>
      </c>
      <c r="M88" s="352">
        <v>0</v>
      </c>
      <c r="N88" s="350">
        <v>0</v>
      </c>
      <c r="O88" s="352">
        <v>0</v>
      </c>
      <c r="P88" s="350">
        <v>35061.06</v>
      </c>
      <c r="Q88" s="351">
        <v>0</v>
      </c>
      <c r="R88" s="354">
        <v>0</v>
      </c>
      <c r="S88" s="350">
        <v>0</v>
      </c>
      <c r="T88" s="352">
        <v>0</v>
      </c>
      <c r="U88" s="351">
        <v>0</v>
      </c>
      <c r="V88" s="352">
        <v>0</v>
      </c>
      <c r="W88" s="350">
        <v>0</v>
      </c>
      <c r="X88" s="351">
        <v>0</v>
      </c>
      <c r="Y88" s="369">
        <v>0</v>
      </c>
      <c r="Z88" s="398">
        <v>44561</v>
      </c>
      <c r="AF88" s="381" t="s">
        <v>1649</v>
      </c>
      <c r="AG88" s="355">
        <v>0</v>
      </c>
      <c r="AH88" s="351">
        <v>154436.66</v>
      </c>
      <c r="AI88" s="356">
        <v>-100</v>
      </c>
      <c r="AJ88" s="355">
        <v>0</v>
      </c>
      <c r="AK88" s="353">
        <v>0</v>
      </c>
      <c r="AL88" s="355">
        <v>-6644.220000000001</v>
      </c>
      <c r="AM88" s="356">
        <v>-4.302229794402444</v>
      </c>
      <c r="AN88" s="355">
        <v>0</v>
      </c>
      <c r="AO88" s="356">
        <v>0</v>
      </c>
      <c r="AP88" s="355">
        <v>6644.220000000001</v>
      </c>
      <c r="AQ88" s="351">
        <v>6644.220000000001</v>
      </c>
      <c r="AR88" s="357">
        <v>0</v>
      </c>
      <c r="AS88" s="355">
        <v>0</v>
      </c>
      <c r="AT88" s="356">
        <v>0</v>
      </c>
      <c r="AU88" s="351">
        <v>0</v>
      </c>
      <c r="AV88" s="356">
        <v>0</v>
      </c>
      <c r="AW88" s="355">
        <v>0</v>
      </c>
      <c r="AX88" s="351">
        <v>0</v>
      </c>
      <c r="AY88" s="369">
        <v>0</v>
      </c>
      <c r="AZ88" s="399">
        <v>44561</v>
      </c>
    </row>
    <row r="89" spans="1:52" ht="12.75" hidden="1" outlineLevel="1">
      <c r="A89" s="394">
        <v>2402</v>
      </c>
      <c r="B89" s="394" t="s">
        <v>616</v>
      </c>
      <c r="C89" s="394" t="s">
        <v>910</v>
      </c>
      <c r="D89" s="395">
        <v>1</v>
      </c>
      <c r="F89" s="349" t="s">
        <v>1650</v>
      </c>
      <c r="G89" s="350">
        <v>0</v>
      </c>
      <c r="H89" s="351">
        <v>0</v>
      </c>
      <c r="I89" s="352">
        <v>0</v>
      </c>
      <c r="J89" s="350">
        <v>0</v>
      </c>
      <c r="K89" s="353">
        <v>0</v>
      </c>
      <c r="L89" s="350">
        <v>-95355.92</v>
      </c>
      <c r="M89" s="352">
        <v>0</v>
      </c>
      <c r="N89" s="350">
        <v>0</v>
      </c>
      <c r="O89" s="352">
        <v>0</v>
      </c>
      <c r="P89" s="350">
        <v>95355.92</v>
      </c>
      <c r="Q89" s="351">
        <v>0</v>
      </c>
      <c r="R89" s="354">
        <v>0</v>
      </c>
      <c r="S89" s="350">
        <v>0</v>
      </c>
      <c r="T89" s="352">
        <v>0</v>
      </c>
      <c r="U89" s="351">
        <v>0</v>
      </c>
      <c r="V89" s="352">
        <v>0</v>
      </c>
      <c r="W89" s="350">
        <v>0</v>
      </c>
      <c r="X89" s="351">
        <v>0</v>
      </c>
      <c r="Y89" s="369">
        <v>0</v>
      </c>
      <c r="Z89" s="398">
        <v>44561</v>
      </c>
      <c r="AF89" s="381" t="s">
        <v>1650</v>
      </c>
      <c r="AG89" s="355">
        <v>0</v>
      </c>
      <c r="AH89" s="351">
        <v>51354.08</v>
      </c>
      <c r="AI89" s="356">
        <v>-100</v>
      </c>
      <c r="AJ89" s="355">
        <v>0</v>
      </c>
      <c r="AK89" s="353">
        <v>0</v>
      </c>
      <c r="AL89" s="355">
        <v>-109110.84999999999</v>
      </c>
      <c r="AM89" s="356">
        <v>-212.46773381978608</v>
      </c>
      <c r="AN89" s="355">
        <v>0</v>
      </c>
      <c r="AO89" s="356">
        <v>0</v>
      </c>
      <c r="AP89" s="355">
        <v>109110.84999999999</v>
      </c>
      <c r="AQ89" s="351">
        <v>109110.84999999999</v>
      </c>
      <c r="AR89" s="357">
        <v>0</v>
      </c>
      <c r="AS89" s="355">
        <v>0</v>
      </c>
      <c r="AT89" s="356">
        <v>0</v>
      </c>
      <c r="AU89" s="351">
        <v>0</v>
      </c>
      <c r="AV89" s="356">
        <v>0</v>
      </c>
      <c r="AW89" s="355">
        <v>0</v>
      </c>
      <c r="AX89" s="351">
        <v>0</v>
      </c>
      <c r="AY89" s="369">
        <v>0</v>
      </c>
      <c r="AZ89" s="399">
        <v>44561</v>
      </c>
    </row>
    <row r="90" spans="1:52" ht="12.75" hidden="1" outlineLevel="1">
      <c r="A90" s="394">
        <v>2403</v>
      </c>
      <c r="B90" s="394" t="s">
        <v>616</v>
      </c>
      <c r="C90" s="394" t="s">
        <v>910</v>
      </c>
      <c r="D90" s="395">
        <v>1</v>
      </c>
      <c r="F90" s="349" t="s">
        <v>1651</v>
      </c>
      <c r="G90" s="350">
        <v>0</v>
      </c>
      <c r="H90" s="351">
        <v>0</v>
      </c>
      <c r="I90" s="352">
        <v>0</v>
      </c>
      <c r="J90" s="350">
        <v>0</v>
      </c>
      <c r="K90" s="353">
        <v>0</v>
      </c>
      <c r="L90" s="350">
        <v>10290.16</v>
      </c>
      <c r="M90" s="352">
        <v>0</v>
      </c>
      <c r="N90" s="350">
        <v>0</v>
      </c>
      <c r="O90" s="352">
        <v>0</v>
      </c>
      <c r="P90" s="350">
        <v>-10290.16</v>
      </c>
      <c r="Q90" s="351">
        <v>0</v>
      </c>
      <c r="R90" s="354">
        <v>0</v>
      </c>
      <c r="S90" s="350">
        <v>0</v>
      </c>
      <c r="T90" s="352">
        <v>0</v>
      </c>
      <c r="U90" s="351">
        <v>0</v>
      </c>
      <c r="V90" s="352">
        <v>0</v>
      </c>
      <c r="W90" s="350">
        <v>0</v>
      </c>
      <c r="X90" s="351">
        <v>0</v>
      </c>
      <c r="Y90" s="369">
        <v>0</v>
      </c>
      <c r="Z90" s="398">
        <v>44561</v>
      </c>
      <c r="AF90" s="381" t="s">
        <v>1651</v>
      </c>
      <c r="AG90" s="355">
        <v>0</v>
      </c>
      <c r="AH90" s="351">
        <v>29648.24</v>
      </c>
      <c r="AI90" s="356">
        <v>-100</v>
      </c>
      <c r="AJ90" s="355">
        <v>0</v>
      </c>
      <c r="AK90" s="353">
        <v>0</v>
      </c>
      <c r="AL90" s="355">
        <v>22164.940000000002</v>
      </c>
      <c r="AM90" s="356">
        <v>74.75971592242912</v>
      </c>
      <c r="AN90" s="355">
        <v>0</v>
      </c>
      <c r="AO90" s="356">
        <v>0</v>
      </c>
      <c r="AP90" s="355">
        <v>-22164.940000000002</v>
      </c>
      <c r="AQ90" s="351">
        <v>-22164.940000000002</v>
      </c>
      <c r="AR90" s="357">
        <v>0</v>
      </c>
      <c r="AS90" s="355">
        <v>0</v>
      </c>
      <c r="AT90" s="356">
        <v>0</v>
      </c>
      <c r="AU90" s="351">
        <v>0</v>
      </c>
      <c r="AV90" s="356">
        <v>0</v>
      </c>
      <c r="AW90" s="355">
        <v>0</v>
      </c>
      <c r="AX90" s="351">
        <v>0</v>
      </c>
      <c r="AY90" s="369">
        <v>0</v>
      </c>
      <c r="AZ90" s="399">
        <v>44561</v>
      </c>
    </row>
    <row r="91" spans="1:52" ht="12.75" hidden="1" outlineLevel="1">
      <c r="A91" s="394">
        <v>2406</v>
      </c>
      <c r="B91" s="394" t="s">
        <v>616</v>
      </c>
      <c r="C91" s="394" t="s">
        <v>910</v>
      </c>
      <c r="D91" s="395">
        <v>1</v>
      </c>
      <c r="F91" s="349" t="s">
        <v>1652</v>
      </c>
      <c r="G91" s="350">
        <v>0</v>
      </c>
      <c r="H91" s="351">
        <v>0</v>
      </c>
      <c r="I91" s="352">
        <v>0</v>
      </c>
      <c r="J91" s="350">
        <v>0</v>
      </c>
      <c r="K91" s="353">
        <v>0</v>
      </c>
      <c r="L91" s="350">
        <v>-111366.52</v>
      </c>
      <c r="M91" s="352">
        <v>0</v>
      </c>
      <c r="N91" s="350">
        <v>0</v>
      </c>
      <c r="O91" s="352">
        <v>0</v>
      </c>
      <c r="P91" s="350">
        <v>111366.52</v>
      </c>
      <c r="Q91" s="351">
        <v>0</v>
      </c>
      <c r="R91" s="354">
        <v>0</v>
      </c>
      <c r="S91" s="350">
        <v>0</v>
      </c>
      <c r="T91" s="352">
        <v>0</v>
      </c>
      <c r="U91" s="351">
        <v>0</v>
      </c>
      <c r="V91" s="352">
        <v>0</v>
      </c>
      <c r="W91" s="350">
        <v>0</v>
      </c>
      <c r="X91" s="351">
        <v>0</v>
      </c>
      <c r="Y91" s="369">
        <v>0</v>
      </c>
      <c r="Z91" s="398">
        <v>44561</v>
      </c>
      <c r="AF91" s="381" t="s">
        <v>1652</v>
      </c>
      <c r="AG91" s="355">
        <v>0</v>
      </c>
      <c r="AH91" s="351">
        <v>245011.55</v>
      </c>
      <c r="AI91" s="356">
        <v>-100</v>
      </c>
      <c r="AJ91" s="355">
        <v>0</v>
      </c>
      <c r="AK91" s="353">
        <v>0</v>
      </c>
      <c r="AL91" s="355">
        <v>-25799.02000000002</v>
      </c>
      <c r="AM91" s="356">
        <v>-10.529715844008178</v>
      </c>
      <c r="AN91" s="355">
        <v>0</v>
      </c>
      <c r="AO91" s="356">
        <v>0</v>
      </c>
      <c r="AP91" s="355">
        <v>25799.02000000002</v>
      </c>
      <c r="AQ91" s="351">
        <v>25799.02000000002</v>
      </c>
      <c r="AR91" s="357">
        <v>0</v>
      </c>
      <c r="AS91" s="355">
        <v>0</v>
      </c>
      <c r="AT91" s="356">
        <v>0</v>
      </c>
      <c r="AU91" s="351">
        <v>0</v>
      </c>
      <c r="AV91" s="356">
        <v>0</v>
      </c>
      <c r="AW91" s="355">
        <v>0</v>
      </c>
      <c r="AX91" s="351">
        <v>0</v>
      </c>
      <c r="AY91" s="369">
        <v>0</v>
      </c>
      <c r="AZ91" s="399">
        <v>44561</v>
      </c>
    </row>
    <row r="92" spans="1:52" ht="12.75" hidden="1" outlineLevel="1">
      <c r="A92" s="394">
        <v>19010</v>
      </c>
      <c r="B92" s="394" t="s">
        <v>616</v>
      </c>
      <c r="C92" s="394" t="s">
        <v>910</v>
      </c>
      <c r="D92" s="395">
        <v>1</v>
      </c>
      <c r="F92" s="349" t="s">
        <v>650</v>
      </c>
      <c r="G92" s="350">
        <v>8846.3</v>
      </c>
      <c r="H92" s="351">
        <v>13061.6</v>
      </c>
      <c r="I92" s="352">
        <v>-32.27246279169474</v>
      </c>
      <c r="J92" s="350">
        <v>-7112.560000000001</v>
      </c>
      <c r="K92" s="353">
        <v>-80.40152380091114</v>
      </c>
      <c r="L92" s="350">
        <v>4363.890000000001</v>
      </c>
      <c r="M92" s="352">
        <v>33.410072272922164</v>
      </c>
      <c r="N92" s="350">
        <v>-7112.560000000001</v>
      </c>
      <c r="O92" s="352">
        <v>-80.40152380091114</v>
      </c>
      <c r="P92" s="350">
        <v>-11476.450000000003</v>
      </c>
      <c r="Q92" s="351">
        <v>-1408.3347765204883</v>
      </c>
      <c r="R92" s="354">
        <v>-10068.115223479514</v>
      </c>
      <c r="S92" s="350">
        <v>0</v>
      </c>
      <c r="T92" s="352">
        <v>0</v>
      </c>
      <c r="U92" s="351">
        <v>0</v>
      </c>
      <c r="V92" s="352">
        <v>0</v>
      </c>
      <c r="W92" s="350">
        <v>3900</v>
      </c>
      <c r="X92" s="351">
        <v>-7156.01</v>
      </c>
      <c r="Y92" s="369">
        <v>13.666730723579352</v>
      </c>
      <c r="Z92" s="398">
        <v>44926</v>
      </c>
      <c r="AF92" s="381" t="s">
        <v>650</v>
      </c>
      <c r="AG92" s="355">
        <v>123674.57</v>
      </c>
      <c r="AH92" s="351">
        <v>37963.8</v>
      </c>
      <c r="AI92" s="356">
        <v>225.76973327222248</v>
      </c>
      <c r="AJ92" s="355">
        <v>13565.240000000005</v>
      </c>
      <c r="AK92" s="353">
        <v>10.968495786967365</v>
      </c>
      <c r="AL92" s="355">
        <v>11672.350000000002</v>
      </c>
      <c r="AM92" s="356">
        <v>30.746000136972594</v>
      </c>
      <c r="AN92" s="355">
        <v>13565.240000000005</v>
      </c>
      <c r="AO92" s="356">
        <v>10.968495786967365</v>
      </c>
      <c r="AP92" s="355">
        <v>1892.890000000003</v>
      </c>
      <c r="AQ92" s="351">
        <v>26352.633461600268</v>
      </c>
      <c r="AR92" s="357">
        <v>-24459.74346160027</v>
      </c>
      <c r="AS92" s="355">
        <v>0</v>
      </c>
      <c r="AT92" s="356">
        <v>0</v>
      </c>
      <c r="AU92" s="351">
        <v>0</v>
      </c>
      <c r="AV92" s="356">
        <v>0</v>
      </c>
      <c r="AW92" s="355">
        <v>3900</v>
      </c>
      <c r="AX92" s="351">
        <v>-500</v>
      </c>
      <c r="AY92" s="369">
        <v>11.510046083038736</v>
      </c>
      <c r="AZ92" s="399">
        <v>44926</v>
      </c>
    </row>
    <row r="93" spans="1:52" ht="12.75" hidden="1" outlineLevel="1">
      <c r="A93" s="394">
        <v>19011</v>
      </c>
      <c r="B93" s="394" t="s">
        <v>616</v>
      </c>
      <c r="C93" s="394" t="s">
        <v>910</v>
      </c>
      <c r="D93" s="395">
        <v>1</v>
      </c>
      <c r="F93" s="349" t="s">
        <v>651</v>
      </c>
      <c r="G93" s="350">
        <v>3545.4</v>
      </c>
      <c r="H93" s="351">
        <v>3905.4</v>
      </c>
      <c r="I93" s="352">
        <v>-9.218005838070365</v>
      </c>
      <c r="J93" s="350">
        <v>-26015.809999999998</v>
      </c>
      <c r="K93" s="353">
        <v>-733.7905454955717</v>
      </c>
      <c r="L93" s="350">
        <v>5044.780000000001</v>
      </c>
      <c r="M93" s="352">
        <v>129.17447636605726</v>
      </c>
      <c r="N93" s="350">
        <v>-26015.809999999998</v>
      </c>
      <c r="O93" s="352">
        <v>-733.7905454955717</v>
      </c>
      <c r="P93" s="350">
        <v>-31060.589999999997</v>
      </c>
      <c r="Q93" s="351">
        <v>-465.0281149178062</v>
      </c>
      <c r="R93" s="354">
        <v>-30595.561885082192</v>
      </c>
      <c r="S93" s="350">
        <v>0</v>
      </c>
      <c r="T93" s="352">
        <v>0</v>
      </c>
      <c r="U93" s="351">
        <v>0</v>
      </c>
      <c r="V93" s="352">
        <v>0</v>
      </c>
      <c r="W93" s="350">
        <v>2900</v>
      </c>
      <c r="X93" s="351">
        <v>-23923.22</v>
      </c>
      <c r="Y93" s="369">
        <v>25.356800361031194</v>
      </c>
      <c r="Z93" s="398">
        <v>44926</v>
      </c>
      <c r="AF93" s="381" t="s">
        <v>651</v>
      </c>
      <c r="AG93" s="355">
        <v>41258.39</v>
      </c>
      <c r="AH93" s="351">
        <v>9784.68</v>
      </c>
      <c r="AI93" s="356">
        <v>321.6631509666131</v>
      </c>
      <c r="AJ93" s="355">
        <v>1747.8099999999977</v>
      </c>
      <c r="AK93" s="353">
        <v>4.2362535232227865</v>
      </c>
      <c r="AL93" s="355">
        <v>10922.98</v>
      </c>
      <c r="AM93" s="356">
        <v>111.6334923574404</v>
      </c>
      <c r="AN93" s="355">
        <v>1747.8099999999977</v>
      </c>
      <c r="AO93" s="356">
        <v>4.2362535232227865</v>
      </c>
      <c r="AP93" s="355">
        <v>-9175.170000000002</v>
      </c>
      <c r="AQ93" s="351">
        <v>35135.20164745295</v>
      </c>
      <c r="AR93" s="357">
        <v>-44310.37164745296</v>
      </c>
      <c r="AS93" s="355">
        <v>0</v>
      </c>
      <c r="AT93" s="356">
        <v>0</v>
      </c>
      <c r="AU93" s="351">
        <v>0</v>
      </c>
      <c r="AV93" s="356">
        <v>0</v>
      </c>
      <c r="AW93" s="355">
        <v>2900</v>
      </c>
      <c r="AX93" s="351">
        <v>-6100</v>
      </c>
      <c r="AY93" s="369">
        <v>25.655387910192328</v>
      </c>
      <c r="AZ93" s="399">
        <v>44926</v>
      </c>
    </row>
    <row r="94" spans="1:52" ht="12.75" hidden="1" outlineLevel="1">
      <c r="A94" s="394">
        <v>19013</v>
      </c>
      <c r="B94" s="394" t="s">
        <v>616</v>
      </c>
      <c r="C94" s="394" t="s">
        <v>910</v>
      </c>
      <c r="D94" s="395">
        <v>1</v>
      </c>
      <c r="F94" s="349" t="s">
        <v>652</v>
      </c>
      <c r="G94" s="350">
        <v>94.4</v>
      </c>
      <c r="H94" s="351">
        <v>0</v>
      </c>
      <c r="I94" s="352">
        <v>0</v>
      </c>
      <c r="J94" s="350">
        <v>8105.339999999999</v>
      </c>
      <c r="K94" s="353">
        <v>8586.165254237287</v>
      </c>
      <c r="L94" s="350">
        <v>0</v>
      </c>
      <c r="M94" s="352">
        <v>0</v>
      </c>
      <c r="N94" s="350">
        <v>8105.339999999999</v>
      </c>
      <c r="O94" s="352">
        <v>8586.165254237287</v>
      </c>
      <c r="P94" s="350">
        <v>8105.339999999999</v>
      </c>
      <c r="Q94" s="351">
        <v>0</v>
      </c>
      <c r="R94" s="354">
        <v>8105.339999999999</v>
      </c>
      <c r="S94" s="350">
        <v>0</v>
      </c>
      <c r="T94" s="352">
        <v>0</v>
      </c>
      <c r="U94" s="351">
        <v>0</v>
      </c>
      <c r="V94" s="352">
        <v>0</v>
      </c>
      <c r="W94" s="350">
        <v>13300</v>
      </c>
      <c r="X94" s="351">
        <v>8010.94</v>
      </c>
      <c r="Y94" s="369">
        <v>4367.5847457627115</v>
      </c>
      <c r="Z94" s="398">
        <v>44926</v>
      </c>
      <c r="AF94" s="381" t="s">
        <v>652</v>
      </c>
      <c r="AG94" s="355">
        <v>236.8</v>
      </c>
      <c r="AH94" s="351">
        <v>0</v>
      </c>
      <c r="AI94" s="356">
        <v>0</v>
      </c>
      <c r="AJ94" s="355">
        <v>-2566.2000000000007</v>
      </c>
      <c r="AK94" s="353">
        <v>-1083.6993243243246</v>
      </c>
      <c r="AL94" s="355">
        <v>0</v>
      </c>
      <c r="AM94" s="356">
        <v>0</v>
      </c>
      <c r="AN94" s="355">
        <v>8169.74</v>
      </c>
      <c r="AO94" s="356">
        <v>3450.0591216216217</v>
      </c>
      <c r="AP94" s="355">
        <v>-2566.2000000000007</v>
      </c>
      <c r="AQ94" s="351">
        <v>0</v>
      </c>
      <c r="AR94" s="357">
        <v>-2566.2000000000007</v>
      </c>
      <c r="AS94" s="355">
        <v>0</v>
      </c>
      <c r="AT94" s="356">
        <v>0</v>
      </c>
      <c r="AU94" s="351">
        <v>10735.94</v>
      </c>
      <c r="AV94" s="356">
        <v>4533.758445945946</v>
      </c>
      <c r="AW94" s="355">
        <v>13300</v>
      </c>
      <c r="AX94" s="351">
        <v>13300</v>
      </c>
      <c r="AY94" s="369">
        <v>20500.422297297297</v>
      </c>
      <c r="AZ94" s="399">
        <v>44926</v>
      </c>
    </row>
    <row r="95" spans="1:52" ht="12.75" hidden="1" outlineLevel="1">
      <c r="A95" s="394">
        <v>19014</v>
      </c>
      <c r="B95" s="394" t="s">
        <v>616</v>
      </c>
      <c r="C95" s="394" t="s">
        <v>910</v>
      </c>
      <c r="D95" s="395">
        <v>1</v>
      </c>
      <c r="F95" s="349" t="s">
        <v>653</v>
      </c>
      <c r="G95" s="350">
        <v>1904.8</v>
      </c>
      <c r="H95" s="351">
        <v>1065.6</v>
      </c>
      <c r="I95" s="352">
        <v>78.75375375375377</v>
      </c>
      <c r="J95" s="350">
        <v>-5321.66</v>
      </c>
      <c r="K95" s="353">
        <v>-279.3815623687526</v>
      </c>
      <c r="L95" s="350">
        <v>12577.43</v>
      </c>
      <c r="M95" s="352">
        <v>1180.314376876877</v>
      </c>
      <c r="N95" s="350">
        <v>-5321.66</v>
      </c>
      <c r="O95" s="352">
        <v>-279.3815623687526</v>
      </c>
      <c r="P95" s="350">
        <v>-17899.09</v>
      </c>
      <c r="Q95" s="351">
        <v>9905.198250750753</v>
      </c>
      <c r="R95" s="354">
        <v>-27804.288250750753</v>
      </c>
      <c r="S95" s="350">
        <v>0</v>
      </c>
      <c r="T95" s="352">
        <v>0</v>
      </c>
      <c r="U95" s="351">
        <v>0</v>
      </c>
      <c r="V95" s="352">
        <v>0</v>
      </c>
      <c r="W95" s="350">
        <v>9100</v>
      </c>
      <c r="X95" s="351">
        <v>-7109.7</v>
      </c>
      <c r="Y95" s="369">
        <v>148.0995380092398</v>
      </c>
      <c r="Z95" s="398">
        <v>44926</v>
      </c>
      <c r="AF95" s="381" t="s">
        <v>653</v>
      </c>
      <c r="AG95" s="355">
        <v>20031.2</v>
      </c>
      <c r="AH95" s="351">
        <v>3532</v>
      </c>
      <c r="AI95" s="356">
        <v>467.13476783691965</v>
      </c>
      <c r="AJ95" s="355">
        <v>2603.8899999999994</v>
      </c>
      <c r="AK95" s="353">
        <v>12.999171292783254</v>
      </c>
      <c r="AL95" s="355">
        <v>13736.52</v>
      </c>
      <c r="AM95" s="356">
        <v>388.916194790487</v>
      </c>
      <c r="AN95" s="355">
        <v>2603.8899999999994</v>
      </c>
      <c r="AO95" s="356">
        <v>12.999171292783254</v>
      </c>
      <c r="AP95" s="355">
        <v>-11132.630000000001</v>
      </c>
      <c r="AQ95" s="351">
        <v>64168.06081087203</v>
      </c>
      <c r="AR95" s="357">
        <v>-75300.69081087202</v>
      </c>
      <c r="AS95" s="355">
        <v>0</v>
      </c>
      <c r="AT95" s="356">
        <v>0</v>
      </c>
      <c r="AU95" s="351">
        <v>0</v>
      </c>
      <c r="AV95" s="356">
        <v>0</v>
      </c>
      <c r="AW95" s="355">
        <v>9100</v>
      </c>
      <c r="AX95" s="351">
        <v>-1300</v>
      </c>
      <c r="AY95" s="369">
        <v>165.81632653061223</v>
      </c>
      <c r="AZ95" s="399">
        <v>44926</v>
      </c>
    </row>
    <row r="96" spans="1:52" ht="12.75" hidden="1" outlineLevel="1">
      <c r="A96" s="394">
        <v>19015</v>
      </c>
      <c r="B96" s="394" t="s">
        <v>616</v>
      </c>
      <c r="C96" s="394" t="s">
        <v>910</v>
      </c>
      <c r="D96" s="395">
        <v>1</v>
      </c>
      <c r="F96" s="349" t="s">
        <v>654</v>
      </c>
      <c r="G96" s="350">
        <v>1600.16</v>
      </c>
      <c r="H96" s="351">
        <v>6472.8</v>
      </c>
      <c r="I96" s="352">
        <v>-75.27870473365468</v>
      </c>
      <c r="J96" s="350">
        <v>-1198.1899999999998</v>
      </c>
      <c r="K96" s="353">
        <v>-74.87938706129385</v>
      </c>
      <c r="L96" s="350">
        <v>45255.840000000004</v>
      </c>
      <c r="M96" s="352">
        <v>699.1694475342973</v>
      </c>
      <c r="N96" s="350">
        <v>-1198.1899999999998</v>
      </c>
      <c r="O96" s="352">
        <v>-74.87938706129385</v>
      </c>
      <c r="P96" s="350">
        <v>-46454.030000000006</v>
      </c>
      <c r="Q96" s="351">
        <v>-34068.01016833519</v>
      </c>
      <c r="R96" s="354">
        <v>-12386.019831664813</v>
      </c>
      <c r="S96" s="350">
        <v>0</v>
      </c>
      <c r="T96" s="352">
        <v>0</v>
      </c>
      <c r="U96" s="351">
        <v>0</v>
      </c>
      <c r="V96" s="352">
        <v>0</v>
      </c>
      <c r="W96" s="350">
        <v>36700</v>
      </c>
      <c r="X96" s="351">
        <v>-2402.95</v>
      </c>
      <c r="Y96" s="369">
        <v>710.991400859914</v>
      </c>
      <c r="Z96" s="398">
        <v>44926</v>
      </c>
      <c r="AF96" s="381" t="s">
        <v>654</v>
      </c>
      <c r="AG96" s="355">
        <v>22905.85</v>
      </c>
      <c r="AH96" s="351">
        <v>11008.32</v>
      </c>
      <c r="AI96" s="356">
        <v>108.07761765646346</v>
      </c>
      <c r="AJ96" s="355">
        <v>9196.269999999999</v>
      </c>
      <c r="AK96" s="353">
        <v>40.148128098280566</v>
      </c>
      <c r="AL96" s="355">
        <v>38779.1</v>
      </c>
      <c r="AM96" s="356">
        <v>352.2708278829104</v>
      </c>
      <c r="AN96" s="355">
        <v>16885.87</v>
      </c>
      <c r="AO96" s="356">
        <v>73.7185915388427</v>
      </c>
      <c r="AP96" s="355">
        <v>-29582.83</v>
      </c>
      <c r="AQ96" s="351">
        <v>41911.52742861763</v>
      </c>
      <c r="AR96" s="357">
        <v>-71494.35742861762</v>
      </c>
      <c r="AS96" s="355">
        <v>0</v>
      </c>
      <c r="AT96" s="356">
        <v>0</v>
      </c>
      <c r="AU96" s="351">
        <v>7689.6</v>
      </c>
      <c r="AV96" s="356">
        <v>33.57046344056213</v>
      </c>
      <c r="AW96" s="355">
        <v>36700</v>
      </c>
      <c r="AX96" s="351">
        <v>-1300</v>
      </c>
      <c r="AY96" s="369">
        <v>584.8069379656289</v>
      </c>
      <c r="AZ96" s="399">
        <v>44926</v>
      </c>
    </row>
    <row r="97" spans="1:52" ht="12.75" hidden="1" outlineLevel="1">
      <c r="A97" s="394">
        <v>19016</v>
      </c>
      <c r="B97" s="394" t="s">
        <v>616</v>
      </c>
      <c r="C97" s="394" t="s">
        <v>910</v>
      </c>
      <c r="D97" s="395">
        <v>1</v>
      </c>
      <c r="F97" s="349" t="s">
        <v>655</v>
      </c>
      <c r="G97" s="350">
        <v>33126.4</v>
      </c>
      <c r="H97" s="351">
        <v>31545.6</v>
      </c>
      <c r="I97" s="352">
        <v>5.011158449989865</v>
      </c>
      <c r="J97" s="350">
        <v>-3588.1399999999994</v>
      </c>
      <c r="K97" s="353">
        <v>-10.831662963678514</v>
      </c>
      <c r="L97" s="350">
        <v>43808.02</v>
      </c>
      <c r="M97" s="352">
        <v>138.87204554676404</v>
      </c>
      <c r="N97" s="350">
        <v>-3588.1399999999994</v>
      </c>
      <c r="O97" s="352">
        <v>-10.831662963678514</v>
      </c>
      <c r="P97" s="350">
        <v>-47396.159999999996</v>
      </c>
      <c r="Q97" s="351">
        <v>2195.28929600325</v>
      </c>
      <c r="R97" s="354">
        <v>-49591.44929600325</v>
      </c>
      <c r="S97" s="350">
        <v>0</v>
      </c>
      <c r="T97" s="352">
        <v>0</v>
      </c>
      <c r="U97" s="351">
        <v>0</v>
      </c>
      <c r="V97" s="352">
        <v>0</v>
      </c>
      <c r="W97" s="350">
        <v>27700</v>
      </c>
      <c r="X97" s="351">
        <v>-38077.65</v>
      </c>
      <c r="Y97" s="369">
        <v>25.92192329984544</v>
      </c>
      <c r="Z97" s="398">
        <v>44926</v>
      </c>
      <c r="AF97" s="381" t="s">
        <v>655</v>
      </c>
      <c r="AG97" s="355">
        <v>293589.11</v>
      </c>
      <c r="AH97" s="351">
        <v>51515.88</v>
      </c>
      <c r="AI97" s="356">
        <v>469.9002132934543</v>
      </c>
      <c r="AJ97" s="355">
        <v>73566.75</v>
      </c>
      <c r="AK97" s="353">
        <v>25.057724382215678</v>
      </c>
      <c r="AL97" s="355">
        <v>47780.439999999995</v>
      </c>
      <c r="AM97" s="356">
        <v>92.74895430302267</v>
      </c>
      <c r="AN97" s="355">
        <v>73566.75</v>
      </c>
      <c r="AO97" s="356">
        <v>25.057724382215678</v>
      </c>
      <c r="AP97" s="355">
        <v>25786.310000000005</v>
      </c>
      <c r="AQ97" s="351">
        <v>224520.38947255097</v>
      </c>
      <c r="AR97" s="357">
        <v>-198734.07947255098</v>
      </c>
      <c r="AS97" s="355">
        <v>0</v>
      </c>
      <c r="AT97" s="356">
        <v>0</v>
      </c>
      <c r="AU97" s="351">
        <v>0</v>
      </c>
      <c r="AV97" s="356">
        <v>0</v>
      </c>
      <c r="AW97" s="355">
        <v>27700</v>
      </c>
      <c r="AX97" s="351">
        <v>-23400</v>
      </c>
      <c r="AY97" s="369">
        <v>34.437585236046395</v>
      </c>
      <c r="AZ97" s="399">
        <v>44926</v>
      </c>
    </row>
    <row r="98" spans="1:52" ht="12.75" hidden="1" outlineLevel="1">
      <c r="A98" s="394">
        <v>19017</v>
      </c>
      <c r="B98" s="394" t="s">
        <v>616</v>
      </c>
      <c r="C98" s="394" t="s">
        <v>910</v>
      </c>
      <c r="D98" s="395">
        <v>1</v>
      </c>
      <c r="F98" s="349" t="s">
        <v>656</v>
      </c>
      <c r="G98" s="350">
        <v>71.2</v>
      </c>
      <c r="H98" s="351">
        <v>10331.2</v>
      </c>
      <c r="I98" s="352">
        <v>-99.31082546074028</v>
      </c>
      <c r="J98" s="350">
        <v>665.49</v>
      </c>
      <c r="K98" s="353">
        <v>934.6769662921348</v>
      </c>
      <c r="L98" s="350">
        <v>3872.5600000000004</v>
      </c>
      <c r="M98" s="352">
        <v>37.48412575499458</v>
      </c>
      <c r="N98" s="350">
        <v>665.49</v>
      </c>
      <c r="O98" s="352">
        <v>934.6769662921348</v>
      </c>
      <c r="P98" s="350">
        <v>-3207.0700000000006</v>
      </c>
      <c r="Q98" s="351">
        <v>-3845.871302462444</v>
      </c>
      <c r="R98" s="354">
        <v>638.8013024624439</v>
      </c>
      <c r="S98" s="350">
        <v>0</v>
      </c>
      <c r="T98" s="352">
        <v>0</v>
      </c>
      <c r="U98" s="351">
        <v>0</v>
      </c>
      <c r="V98" s="352">
        <v>0</v>
      </c>
      <c r="W98" s="350">
        <v>1200</v>
      </c>
      <c r="X98" s="351">
        <v>594.29</v>
      </c>
      <c r="Y98" s="369">
        <v>522.4719101123595</v>
      </c>
      <c r="Z98" s="398">
        <v>44926</v>
      </c>
      <c r="AF98" s="381" t="s">
        <v>656</v>
      </c>
      <c r="AG98" s="355">
        <v>5417.6</v>
      </c>
      <c r="AH98" s="351">
        <v>16412.8</v>
      </c>
      <c r="AI98" s="356">
        <v>-66.99161629947358</v>
      </c>
      <c r="AJ98" s="355">
        <v>2517.6000000000004</v>
      </c>
      <c r="AK98" s="353">
        <v>46.47076196101595</v>
      </c>
      <c r="AL98" s="355">
        <v>6202.16</v>
      </c>
      <c r="AM98" s="356">
        <v>37.788555273932545</v>
      </c>
      <c r="AN98" s="355">
        <v>2517.6000000000004</v>
      </c>
      <c r="AO98" s="356">
        <v>46.47076196101595</v>
      </c>
      <c r="AP98" s="355">
        <v>-3684.5599999999995</v>
      </c>
      <c r="AQ98" s="351">
        <v>-4154.92722947943</v>
      </c>
      <c r="AR98" s="357">
        <v>470.3672294794309</v>
      </c>
      <c r="AS98" s="355">
        <v>0</v>
      </c>
      <c r="AT98" s="356">
        <v>0</v>
      </c>
      <c r="AU98" s="351">
        <v>0</v>
      </c>
      <c r="AV98" s="356">
        <v>0</v>
      </c>
      <c r="AW98" s="355">
        <v>1200</v>
      </c>
      <c r="AX98" s="351">
        <v>-2900</v>
      </c>
      <c r="AY98" s="369">
        <v>80.8476077968104</v>
      </c>
      <c r="AZ98" s="399">
        <v>44926</v>
      </c>
    </row>
    <row r="99" spans="1:52" ht="12.75" hidden="1" outlineLevel="1">
      <c r="A99" s="394">
        <v>19018</v>
      </c>
      <c r="B99" s="394" t="s">
        <v>616</v>
      </c>
      <c r="C99" s="394" t="s">
        <v>910</v>
      </c>
      <c r="D99" s="395">
        <v>1</v>
      </c>
      <c r="F99" s="349" t="s">
        <v>657</v>
      </c>
      <c r="G99" s="350">
        <v>0</v>
      </c>
      <c r="H99" s="351">
        <v>0</v>
      </c>
      <c r="I99" s="352">
        <v>0</v>
      </c>
      <c r="J99" s="350">
        <v>-111620.1</v>
      </c>
      <c r="K99" s="353">
        <v>0</v>
      </c>
      <c r="L99" s="350">
        <v>-18205.9</v>
      </c>
      <c r="M99" s="352">
        <v>0</v>
      </c>
      <c r="N99" s="350">
        <v>-111620.1</v>
      </c>
      <c r="O99" s="352">
        <v>0</v>
      </c>
      <c r="P99" s="350">
        <v>-93414.20000000001</v>
      </c>
      <c r="Q99" s="351">
        <v>0</v>
      </c>
      <c r="R99" s="354">
        <v>0</v>
      </c>
      <c r="S99" s="350">
        <v>0</v>
      </c>
      <c r="T99" s="352">
        <v>0</v>
      </c>
      <c r="U99" s="351">
        <v>0</v>
      </c>
      <c r="V99" s="352">
        <v>0</v>
      </c>
      <c r="W99" s="350">
        <v>0</v>
      </c>
      <c r="X99" s="351">
        <v>-100668.1</v>
      </c>
      <c r="Y99" s="369">
        <v>0</v>
      </c>
      <c r="Z99" s="398">
        <v>44926</v>
      </c>
      <c r="AF99" s="381" t="s">
        <v>657</v>
      </c>
      <c r="AG99" s="355">
        <v>0</v>
      </c>
      <c r="AH99" s="351">
        <v>0</v>
      </c>
      <c r="AI99" s="356">
        <v>0</v>
      </c>
      <c r="AJ99" s="355">
        <v>-111620.1</v>
      </c>
      <c r="AK99" s="353">
        <v>0</v>
      </c>
      <c r="AL99" s="355">
        <v>-18205.9</v>
      </c>
      <c r="AM99" s="356">
        <v>0</v>
      </c>
      <c r="AN99" s="355">
        <v>-111620.1</v>
      </c>
      <c r="AO99" s="356">
        <v>0</v>
      </c>
      <c r="AP99" s="355">
        <v>-93414.20000000001</v>
      </c>
      <c r="AQ99" s="351">
        <v>0</v>
      </c>
      <c r="AR99" s="357">
        <v>0</v>
      </c>
      <c r="AS99" s="355">
        <v>0</v>
      </c>
      <c r="AT99" s="356">
        <v>0</v>
      </c>
      <c r="AU99" s="351">
        <v>0</v>
      </c>
      <c r="AV99" s="356">
        <v>0</v>
      </c>
      <c r="AW99" s="355">
        <v>0</v>
      </c>
      <c r="AX99" s="351">
        <v>-11200</v>
      </c>
      <c r="AY99" s="369">
        <v>0</v>
      </c>
      <c r="AZ99" s="399">
        <v>44926</v>
      </c>
    </row>
    <row r="100" spans="1:52" ht="12.75" collapsed="1">
      <c r="A100" s="394">
        <v>190</v>
      </c>
      <c r="B100" s="394" t="s">
        <v>627</v>
      </c>
      <c r="C100" s="394" t="s">
        <v>910</v>
      </c>
      <c r="D100" s="395">
        <v>2</v>
      </c>
      <c r="F100" s="349" t="s">
        <v>517</v>
      </c>
      <c r="G100" s="350">
        <v>49188.66</v>
      </c>
      <c r="H100" s="351">
        <v>66382.2</v>
      </c>
      <c r="I100" s="352">
        <v>-25.90082883664596</v>
      </c>
      <c r="J100" s="350">
        <v>-146085.63</v>
      </c>
      <c r="K100" s="353">
        <v>-296.9904648754408</v>
      </c>
      <c r="L100" s="350">
        <v>-134776.72</v>
      </c>
      <c r="M100" s="352">
        <v>-203.03141504800988</v>
      </c>
      <c r="N100" s="350">
        <v>-146085.63</v>
      </c>
      <c r="O100" s="352">
        <v>-296.9904648754408</v>
      </c>
      <c r="P100" s="350">
        <v>-11308.910000000003</v>
      </c>
      <c r="Q100" s="351">
        <v>34908.287558845586</v>
      </c>
      <c r="R100" s="354">
        <v>-46217.19755884559</v>
      </c>
      <c r="S100" s="350">
        <v>0</v>
      </c>
      <c r="T100" s="352">
        <v>0</v>
      </c>
      <c r="U100" s="351">
        <v>0</v>
      </c>
      <c r="V100" s="352">
        <v>0</v>
      </c>
      <c r="W100" s="350">
        <v>94800</v>
      </c>
      <c r="X100" s="351">
        <v>-170732.40000000002</v>
      </c>
      <c r="Y100" s="369">
        <v>59.7454779211306</v>
      </c>
      <c r="Z100" s="398">
        <v>44561</v>
      </c>
      <c r="AF100" s="381" t="s">
        <v>517</v>
      </c>
      <c r="AG100" s="355">
        <v>507113.51999999996</v>
      </c>
      <c r="AH100" s="351">
        <v>610668.01</v>
      </c>
      <c r="AI100" s="356">
        <v>-16.957575688302395</v>
      </c>
      <c r="AJ100" s="355">
        <v>-10988.740000000042</v>
      </c>
      <c r="AK100" s="353">
        <v>-2.166919154512</v>
      </c>
      <c r="AL100" s="355">
        <v>-8501.499999999825</v>
      </c>
      <c r="AM100" s="356">
        <v>-1.392163968110893</v>
      </c>
      <c r="AN100" s="355">
        <v>7436.799999999988</v>
      </c>
      <c r="AO100" s="356">
        <v>1.466496101306861</v>
      </c>
      <c r="AP100" s="355">
        <v>-2487.2400000002162</v>
      </c>
      <c r="AQ100" s="351">
        <v>1441.6482971409987</v>
      </c>
      <c r="AR100" s="357">
        <v>-3928.8882971412154</v>
      </c>
      <c r="AS100" s="355">
        <v>0</v>
      </c>
      <c r="AT100" s="356">
        <v>0</v>
      </c>
      <c r="AU100" s="351">
        <v>18425.54000000003</v>
      </c>
      <c r="AV100" s="356">
        <v>3.633415255818861</v>
      </c>
      <c r="AW100" s="355">
        <v>94800</v>
      </c>
      <c r="AX100" s="351">
        <v>-33400</v>
      </c>
      <c r="AY100" s="369">
        <v>68.23324292359628</v>
      </c>
      <c r="AZ100" s="399">
        <v>44561</v>
      </c>
    </row>
    <row r="101" spans="1:52" ht="12.75" hidden="1" outlineLevel="1">
      <c r="A101" s="394">
        <v>1301</v>
      </c>
      <c r="B101" s="394" t="s">
        <v>616</v>
      </c>
      <c r="C101" s="394" t="s">
        <v>910</v>
      </c>
      <c r="D101" s="395">
        <v>1</v>
      </c>
      <c r="F101" s="349" t="s">
        <v>1654</v>
      </c>
      <c r="G101" s="350">
        <v>0</v>
      </c>
      <c r="H101" s="351">
        <v>0</v>
      </c>
      <c r="I101" s="352">
        <v>0</v>
      </c>
      <c r="J101" s="350">
        <v>0</v>
      </c>
      <c r="K101" s="353">
        <v>0</v>
      </c>
      <c r="L101" s="350">
        <v>0</v>
      </c>
      <c r="M101" s="352">
        <v>0</v>
      </c>
      <c r="N101" s="350">
        <v>0</v>
      </c>
      <c r="O101" s="352">
        <v>0</v>
      </c>
      <c r="P101" s="350">
        <v>0</v>
      </c>
      <c r="Q101" s="351">
        <v>0</v>
      </c>
      <c r="R101" s="354">
        <v>0</v>
      </c>
      <c r="S101" s="350">
        <v>0</v>
      </c>
      <c r="T101" s="352">
        <v>0</v>
      </c>
      <c r="U101" s="351">
        <v>0</v>
      </c>
      <c r="V101" s="352">
        <v>0</v>
      </c>
      <c r="W101" s="350">
        <v>0</v>
      </c>
      <c r="X101" s="351">
        <v>0</v>
      </c>
      <c r="Y101" s="369">
        <v>0</v>
      </c>
      <c r="Z101" s="398">
        <v>0</v>
      </c>
      <c r="AF101" s="381" t="s">
        <v>1654</v>
      </c>
      <c r="AG101" s="355">
        <v>0</v>
      </c>
      <c r="AH101" s="351">
        <v>232872</v>
      </c>
      <c r="AI101" s="356">
        <v>-100</v>
      </c>
      <c r="AJ101" s="355">
        <v>0</v>
      </c>
      <c r="AK101" s="353">
        <v>0</v>
      </c>
      <c r="AL101" s="355">
        <v>232872</v>
      </c>
      <c r="AM101" s="356">
        <v>100</v>
      </c>
      <c r="AN101" s="355">
        <v>0</v>
      </c>
      <c r="AO101" s="356">
        <v>0</v>
      </c>
      <c r="AP101" s="355">
        <v>-232872</v>
      </c>
      <c r="AQ101" s="351">
        <v>-232872</v>
      </c>
      <c r="AR101" s="357">
        <v>0</v>
      </c>
      <c r="AS101" s="355">
        <v>0</v>
      </c>
      <c r="AT101" s="356">
        <v>0</v>
      </c>
      <c r="AU101" s="351">
        <v>0</v>
      </c>
      <c r="AV101" s="356">
        <v>0</v>
      </c>
      <c r="AW101" s="355">
        <v>0</v>
      </c>
      <c r="AX101" s="351">
        <v>0</v>
      </c>
      <c r="AY101" s="369">
        <v>0</v>
      </c>
      <c r="AZ101" s="399">
        <v>0</v>
      </c>
    </row>
    <row r="102" spans="1:52" ht="12.75" hidden="1" outlineLevel="1">
      <c r="A102" s="394">
        <v>1402</v>
      </c>
      <c r="B102" s="394" t="s">
        <v>616</v>
      </c>
      <c r="C102" s="394" t="s">
        <v>910</v>
      </c>
      <c r="D102" s="395">
        <v>1</v>
      </c>
      <c r="F102" s="349" t="s">
        <v>1655</v>
      </c>
      <c r="G102" s="350">
        <v>0</v>
      </c>
      <c r="H102" s="351">
        <v>0</v>
      </c>
      <c r="I102" s="352">
        <v>0</v>
      </c>
      <c r="J102" s="350">
        <v>0</v>
      </c>
      <c r="K102" s="353">
        <v>0</v>
      </c>
      <c r="L102" s="350">
        <v>-8970.92</v>
      </c>
      <c r="M102" s="352">
        <v>0</v>
      </c>
      <c r="N102" s="350">
        <v>0</v>
      </c>
      <c r="O102" s="352">
        <v>0</v>
      </c>
      <c r="P102" s="350">
        <v>8970.92</v>
      </c>
      <c r="Q102" s="351">
        <v>0</v>
      </c>
      <c r="R102" s="354">
        <v>0</v>
      </c>
      <c r="S102" s="350">
        <v>0</v>
      </c>
      <c r="T102" s="352">
        <v>0</v>
      </c>
      <c r="U102" s="351">
        <v>0</v>
      </c>
      <c r="V102" s="352">
        <v>0</v>
      </c>
      <c r="W102" s="350">
        <v>0</v>
      </c>
      <c r="X102" s="351">
        <v>0</v>
      </c>
      <c r="Y102" s="369">
        <v>0</v>
      </c>
      <c r="Z102" s="398">
        <v>44561</v>
      </c>
      <c r="AF102" s="381" t="s">
        <v>1655</v>
      </c>
      <c r="AG102" s="355">
        <v>0</v>
      </c>
      <c r="AH102" s="351">
        <v>58395.2</v>
      </c>
      <c r="AI102" s="356">
        <v>-100</v>
      </c>
      <c r="AJ102" s="355">
        <v>0</v>
      </c>
      <c r="AK102" s="353">
        <v>0</v>
      </c>
      <c r="AL102" s="355">
        <v>45929.2</v>
      </c>
      <c r="AM102" s="356">
        <v>78.65235498808121</v>
      </c>
      <c r="AN102" s="355">
        <v>0</v>
      </c>
      <c r="AO102" s="356">
        <v>0</v>
      </c>
      <c r="AP102" s="355">
        <v>-45929.2</v>
      </c>
      <c r="AQ102" s="351">
        <v>-45929.2</v>
      </c>
      <c r="AR102" s="357">
        <v>0</v>
      </c>
      <c r="AS102" s="355">
        <v>0</v>
      </c>
      <c r="AT102" s="356">
        <v>0</v>
      </c>
      <c r="AU102" s="351">
        <v>0</v>
      </c>
      <c r="AV102" s="356">
        <v>0</v>
      </c>
      <c r="AW102" s="355">
        <v>0</v>
      </c>
      <c r="AX102" s="351">
        <v>0</v>
      </c>
      <c r="AY102" s="369">
        <v>0</v>
      </c>
      <c r="AZ102" s="399">
        <v>44561</v>
      </c>
    </row>
    <row r="103" spans="1:52" ht="12.75" hidden="1" outlineLevel="1">
      <c r="A103" s="394">
        <v>2010</v>
      </c>
      <c r="B103" s="394" t="s">
        <v>616</v>
      </c>
      <c r="C103" s="394" t="s">
        <v>910</v>
      </c>
      <c r="D103" s="395">
        <v>1</v>
      </c>
      <c r="F103" s="349" t="s">
        <v>1656</v>
      </c>
      <c r="G103" s="350">
        <v>0</v>
      </c>
      <c r="H103" s="351">
        <v>0</v>
      </c>
      <c r="I103" s="352">
        <v>0</v>
      </c>
      <c r="J103" s="350">
        <v>0</v>
      </c>
      <c r="K103" s="353">
        <v>0</v>
      </c>
      <c r="L103" s="350">
        <v>4039.1</v>
      </c>
      <c r="M103" s="352">
        <v>0</v>
      </c>
      <c r="N103" s="350">
        <v>0</v>
      </c>
      <c r="O103" s="352">
        <v>0</v>
      </c>
      <c r="P103" s="350">
        <v>-4039.1</v>
      </c>
      <c r="Q103" s="351">
        <v>0</v>
      </c>
      <c r="R103" s="354">
        <v>0</v>
      </c>
      <c r="S103" s="350">
        <v>0</v>
      </c>
      <c r="T103" s="352">
        <v>0</v>
      </c>
      <c r="U103" s="351">
        <v>0</v>
      </c>
      <c r="V103" s="352">
        <v>0</v>
      </c>
      <c r="W103" s="350">
        <v>0</v>
      </c>
      <c r="X103" s="351">
        <v>0</v>
      </c>
      <c r="Y103" s="369">
        <v>0</v>
      </c>
      <c r="Z103" s="398">
        <v>44561</v>
      </c>
      <c r="AF103" s="381" t="s">
        <v>1656</v>
      </c>
      <c r="AG103" s="355">
        <v>0</v>
      </c>
      <c r="AH103" s="351">
        <v>36246.4</v>
      </c>
      <c r="AI103" s="356">
        <v>-100</v>
      </c>
      <c r="AJ103" s="355">
        <v>0</v>
      </c>
      <c r="AK103" s="353">
        <v>0</v>
      </c>
      <c r="AL103" s="355">
        <v>-3894.0800000000017</v>
      </c>
      <c r="AM103" s="356">
        <v>-10.743356581619144</v>
      </c>
      <c r="AN103" s="355">
        <v>0</v>
      </c>
      <c r="AO103" s="356">
        <v>0</v>
      </c>
      <c r="AP103" s="355">
        <v>3894.0800000000017</v>
      </c>
      <c r="AQ103" s="351">
        <v>3894.0800000000017</v>
      </c>
      <c r="AR103" s="357">
        <v>0</v>
      </c>
      <c r="AS103" s="355">
        <v>0</v>
      </c>
      <c r="AT103" s="356">
        <v>0</v>
      </c>
      <c r="AU103" s="351">
        <v>0</v>
      </c>
      <c r="AV103" s="356">
        <v>0</v>
      </c>
      <c r="AW103" s="355">
        <v>0</v>
      </c>
      <c r="AX103" s="351">
        <v>0</v>
      </c>
      <c r="AY103" s="369">
        <v>0</v>
      </c>
      <c r="AZ103" s="399">
        <v>44561</v>
      </c>
    </row>
    <row r="104" spans="1:52" ht="12.75" hidden="1" outlineLevel="1">
      <c r="A104" s="394">
        <v>2040</v>
      </c>
      <c r="B104" s="394" t="s">
        <v>616</v>
      </c>
      <c r="C104" s="394" t="s">
        <v>910</v>
      </c>
      <c r="D104" s="395">
        <v>1</v>
      </c>
      <c r="F104" s="349" t="s">
        <v>1657</v>
      </c>
      <c r="G104" s="350">
        <v>0</v>
      </c>
      <c r="H104" s="351">
        <v>0</v>
      </c>
      <c r="I104" s="352">
        <v>0</v>
      </c>
      <c r="J104" s="350">
        <v>0</v>
      </c>
      <c r="K104" s="353">
        <v>0</v>
      </c>
      <c r="L104" s="350">
        <v>9319.98</v>
      </c>
      <c r="M104" s="352">
        <v>0</v>
      </c>
      <c r="N104" s="350">
        <v>0</v>
      </c>
      <c r="O104" s="352">
        <v>0</v>
      </c>
      <c r="P104" s="350">
        <v>-9319.98</v>
      </c>
      <c r="Q104" s="351">
        <v>0</v>
      </c>
      <c r="R104" s="354">
        <v>0</v>
      </c>
      <c r="S104" s="350">
        <v>0</v>
      </c>
      <c r="T104" s="352">
        <v>0</v>
      </c>
      <c r="U104" s="351">
        <v>0</v>
      </c>
      <c r="V104" s="352">
        <v>0</v>
      </c>
      <c r="W104" s="350">
        <v>0</v>
      </c>
      <c r="X104" s="351">
        <v>0</v>
      </c>
      <c r="Y104" s="369">
        <v>0</v>
      </c>
      <c r="Z104" s="398">
        <v>44561</v>
      </c>
      <c r="AF104" s="381" t="s">
        <v>1657</v>
      </c>
      <c r="AG104" s="355">
        <v>0</v>
      </c>
      <c r="AH104" s="351">
        <v>56760</v>
      </c>
      <c r="AI104" s="356">
        <v>-100</v>
      </c>
      <c r="AJ104" s="355">
        <v>0</v>
      </c>
      <c r="AK104" s="353">
        <v>0</v>
      </c>
      <c r="AL104" s="355">
        <v>55693.8</v>
      </c>
      <c r="AM104" s="356">
        <v>98.1215644820296</v>
      </c>
      <c r="AN104" s="355">
        <v>0</v>
      </c>
      <c r="AO104" s="356">
        <v>0</v>
      </c>
      <c r="AP104" s="355">
        <v>-55693.8</v>
      </c>
      <c r="AQ104" s="351">
        <v>-55693.8</v>
      </c>
      <c r="AR104" s="357">
        <v>0</v>
      </c>
      <c r="AS104" s="355">
        <v>0</v>
      </c>
      <c r="AT104" s="356">
        <v>0</v>
      </c>
      <c r="AU104" s="351">
        <v>0</v>
      </c>
      <c r="AV104" s="356">
        <v>0</v>
      </c>
      <c r="AW104" s="355">
        <v>0</v>
      </c>
      <c r="AX104" s="351">
        <v>0</v>
      </c>
      <c r="AY104" s="369">
        <v>0</v>
      </c>
      <c r="AZ104" s="399">
        <v>44561</v>
      </c>
    </row>
    <row r="105" spans="1:52" ht="12.75" hidden="1" outlineLevel="1">
      <c r="A105" s="394">
        <v>2070</v>
      </c>
      <c r="B105" s="394" t="s">
        <v>616</v>
      </c>
      <c r="C105" s="394" t="s">
        <v>910</v>
      </c>
      <c r="D105" s="395">
        <v>1</v>
      </c>
      <c r="F105" s="349" t="s">
        <v>1658</v>
      </c>
      <c r="G105" s="350">
        <v>0</v>
      </c>
      <c r="H105" s="351">
        <v>0</v>
      </c>
      <c r="I105" s="352">
        <v>0</v>
      </c>
      <c r="J105" s="350">
        <v>0</v>
      </c>
      <c r="K105" s="353">
        <v>0</v>
      </c>
      <c r="L105" s="350">
        <v>-792.68</v>
      </c>
      <c r="M105" s="352">
        <v>0</v>
      </c>
      <c r="N105" s="350">
        <v>0</v>
      </c>
      <c r="O105" s="352">
        <v>0</v>
      </c>
      <c r="P105" s="350">
        <v>792.68</v>
      </c>
      <c r="Q105" s="351">
        <v>0</v>
      </c>
      <c r="R105" s="354">
        <v>0</v>
      </c>
      <c r="S105" s="350">
        <v>0</v>
      </c>
      <c r="T105" s="352">
        <v>0</v>
      </c>
      <c r="U105" s="351">
        <v>0</v>
      </c>
      <c r="V105" s="352">
        <v>0</v>
      </c>
      <c r="W105" s="350">
        <v>0</v>
      </c>
      <c r="X105" s="351">
        <v>0</v>
      </c>
      <c r="Y105" s="369">
        <v>0</v>
      </c>
      <c r="Z105" s="398">
        <v>44561</v>
      </c>
      <c r="AF105" s="381" t="s">
        <v>1658</v>
      </c>
      <c r="AG105" s="355">
        <v>0</v>
      </c>
      <c r="AH105" s="351">
        <v>479.2</v>
      </c>
      <c r="AI105" s="356">
        <v>-100</v>
      </c>
      <c r="AJ105" s="355">
        <v>0</v>
      </c>
      <c r="AK105" s="353">
        <v>0</v>
      </c>
      <c r="AL105" s="355">
        <v>-453.41</v>
      </c>
      <c r="AM105" s="356">
        <v>-94.61811352253757</v>
      </c>
      <c r="AN105" s="355">
        <v>0</v>
      </c>
      <c r="AO105" s="356">
        <v>0</v>
      </c>
      <c r="AP105" s="355">
        <v>453.41</v>
      </c>
      <c r="AQ105" s="351">
        <v>453.41</v>
      </c>
      <c r="AR105" s="357">
        <v>0</v>
      </c>
      <c r="AS105" s="355">
        <v>0</v>
      </c>
      <c r="AT105" s="356">
        <v>0</v>
      </c>
      <c r="AU105" s="351">
        <v>0</v>
      </c>
      <c r="AV105" s="356">
        <v>0</v>
      </c>
      <c r="AW105" s="355">
        <v>0</v>
      </c>
      <c r="AX105" s="351">
        <v>0</v>
      </c>
      <c r="AY105" s="369">
        <v>0</v>
      </c>
      <c r="AZ105" s="399">
        <v>44561</v>
      </c>
    </row>
    <row r="106" spans="1:52" ht="12.75" hidden="1" outlineLevel="1">
      <c r="A106" s="394">
        <v>2090</v>
      </c>
      <c r="B106" s="394" t="s">
        <v>616</v>
      </c>
      <c r="C106" s="394" t="s">
        <v>910</v>
      </c>
      <c r="D106" s="395">
        <v>1</v>
      </c>
      <c r="F106" s="349" t="s">
        <v>1659</v>
      </c>
      <c r="G106" s="350">
        <v>0</v>
      </c>
      <c r="H106" s="351">
        <v>0</v>
      </c>
      <c r="I106" s="352">
        <v>0</v>
      </c>
      <c r="J106" s="350">
        <v>0</v>
      </c>
      <c r="K106" s="353">
        <v>0</v>
      </c>
      <c r="L106" s="350">
        <v>745.91</v>
      </c>
      <c r="M106" s="352">
        <v>0</v>
      </c>
      <c r="N106" s="350">
        <v>0</v>
      </c>
      <c r="O106" s="352">
        <v>0</v>
      </c>
      <c r="P106" s="350">
        <v>-745.91</v>
      </c>
      <c r="Q106" s="351">
        <v>0</v>
      </c>
      <c r="R106" s="354">
        <v>0</v>
      </c>
      <c r="S106" s="350">
        <v>0</v>
      </c>
      <c r="T106" s="352">
        <v>0</v>
      </c>
      <c r="U106" s="351">
        <v>0</v>
      </c>
      <c r="V106" s="352">
        <v>0</v>
      </c>
      <c r="W106" s="350">
        <v>0</v>
      </c>
      <c r="X106" s="351">
        <v>0</v>
      </c>
      <c r="Y106" s="369">
        <v>0</v>
      </c>
      <c r="Z106" s="398">
        <v>44561</v>
      </c>
      <c r="AF106" s="381" t="s">
        <v>1659</v>
      </c>
      <c r="AG106" s="355">
        <v>0</v>
      </c>
      <c r="AH106" s="351">
        <v>2554.4</v>
      </c>
      <c r="AI106" s="356">
        <v>-100</v>
      </c>
      <c r="AJ106" s="355">
        <v>0</v>
      </c>
      <c r="AK106" s="353">
        <v>0</v>
      </c>
      <c r="AL106" s="355">
        <v>2554.4</v>
      </c>
      <c r="AM106" s="356">
        <v>100</v>
      </c>
      <c r="AN106" s="355">
        <v>0</v>
      </c>
      <c r="AO106" s="356">
        <v>0</v>
      </c>
      <c r="AP106" s="355">
        <v>-2554.4</v>
      </c>
      <c r="AQ106" s="351">
        <v>-2554.4</v>
      </c>
      <c r="AR106" s="357">
        <v>0</v>
      </c>
      <c r="AS106" s="355">
        <v>0</v>
      </c>
      <c r="AT106" s="356">
        <v>0</v>
      </c>
      <c r="AU106" s="351">
        <v>0</v>
      </c>
      <c r="AV106" s="356">
        <v>0</v>
      </c>
      <c r="AW106" s="355">
        <v>0</v>
      </c>
      <c r="AX106" s="351">
        <v>0</v>
      </c>
      <c r="AY106" s="369">
        <v>0</v>
      </c>
      <c r="AZ106" s="399">
        <v>44561</v>
      </c>
    </row>
    <row r="107" spans="1:52" ht="12.75" hidden="1" outlineLevel="1">
      <c r="A107" s="394">
        <v>2404</v>
      </c>
      <c r="B107" s="394" t="s">
        <v>616</v>
      </c>
      <c r="C107" s="394" t="s">
        <v>910</v>
      </c>
      <c r="D107" s="395">
        <v>1</v>
      </c>
      <c r="F107" s="349" t="s">
        <v>1660</v>
      </c>
      <c r="G107" s="350">
        <v>0</v>
      </c>
      <c r="H107" s="351">
        <v>0</v>
      </c>
      <c r="I107" s="352">
        <v>0</v>
      </c>
      <c r="J107" s="350">
        <v>0</v>
      </c>
      <c r="K107" s="353">
        <v>0</v>
      </c>
      <c r="L107" s="350">
        <v>-141417.49</v>
      </c>
      <c r="M107" s="352">
        <v>0</v>
      </c>
      <c r="N107" s="350">
        <v>0</v>
      </c>
      <c r="O107" s="352">
        <v>0</v>
      </c>
      <c r="P107" s="350">
        <v>141417.49</v>
      </c>
      <c r="Q107" s="351">
        <v>0</v>
      </c>
      <c r="R107" s="354">
        <v>0</v>
      </c>
      <c r="S107" s="350">
        <v>0</v>
      </c>
      <c r="T107" s="352">
        <v>0</v>
      </c>
      <c r="U107" s="351">
        <v>0</v>
      </c>
      <c r="V107" s="352">
        <v>0</v>
      </c>
      <c r="W107" s="350">
        <v>0</v>
      </c>
      <c r="X107" s="351">
        <v>-1856</v>
      </c>
      <c r="Y107" s="369">
        <v>0</v>
      </c>
      <c r="Z107" s="398">
        <v>44561</v>
      </c>
      <c r="AF107" s="381" t="s">
        <v>1660</v>
      </c>
      <c r="AG107" s="355">
        <v>0</v>
      </c>
      <c r="AH107" s="351">
        <v>555410.51</v>
      </c>
      <c r="AI107" s="356">
        <v>-100</v>
      </c>
      <c r="AJ107" s="355">
        <v>0</v>
      </c>
      <c r="AK107" s="353">
        <v>0</v>
      </c>
      <c r="AL107" s="355">
        <v>58008</v>
      </c>
      <c r="AM107" s="356">
        <v>10.444166783952287</v>
      </c>
      <c r="AN107" s="355">
        <v>0</v>
      </c>
      <c r="AO107" s="356">
        <v>0</v>
      </c>
      <c r="AP107" s="355">
        <v>-58008</v>
      </c>
      <c r="AQ107" s="351">
        <v>-58007.99999999999</v>
      </c>
      <c r="AR107" s="357">
        <v>0</v>
      </c>
      <c r="AS107" s="355">
        <v>0</v>
      </c>
      <c r="AT107" s="356">
        <v>0</v>
      </c>
      <c r="AU107" s="351">
        <v>0</v>
      </c>
      <c r="AV107" s="356">
        <v>0</v>
      </c>
      <c r="AW107" s="355">
        <v>0</v>
      </c>
      <c r="AX107" s="351">
        <v>0</v>
      </c>
      <c r="AY107" s="369">
        <v>0</v>
      </c>
      <c r="AZ107" s="399">
        <v>44561</v>
      </c>
    </row>
    <row r="108" spans="1:52" ht="12.75" hidden="1" outlineLevel="1">
      <c r="A108" s="394">
        <v>2407</v>
      </c>
      <c r="B108" s="394" t="s">
        <v>616</v>
      </c>
      <c r="C108" s="394" t="s">
        <v>910</v>
      </c>
      <c r="D108" s="395">
        <v>1</v>
      </c>
      <c r="F108" s="349" t="s">
        <v>1661</v>
      </c>
      <c r="G108" s="350">
        <v>0</v>
      </c>
      <c r="H108" s="351">
        <v>0</v>
      </c>
      <c r="I108" s="352">
        <v>0</v>
      </c>
      <c r="J108" s="350">
        <v>0</v>
      </c>
      <c r="K108" s="353">
        <v>0</v>
      </c>
      <c r="L108" s="350">
        <v>5714.7</v>
      </c>
      <c r="M108" s="352">
        <v>0</v>
      </c>
      <c r="N108" s="350">
        <v>0</v>
      </c>
      <c r="O108" s="352">
        <v>0</v>
      </c>
      <c r="P108" s="350">
        <v>-5714.7</v>
      </c>
      <c r="Q108" s="351">
        <v>0</v>
      </c>
      <c r="R108" s="354">
        <v>0</v>
      </c>
      <c r="S108" s="350">
        <v>0</v>
      </c>
      <c r="T108" s="352">
        <v>0</v>
      </c>
      <c r="U108" s="351">
        <v>0</v>
      </c>
      <c r="V108" s="352">
        <v>0</v>
      </c>
      <c r="W108" s="350">
        <v>0</v>
      </c>
      <c r="X108" s="351">
        <v>0</v>
      </c>
      <c r="Y108" s="369">
        <v>0</v>
      </c>
      <c r="Z108" s="398">
        <v>44561</v>
      </c>
      <c r="AF108" s="381" t="s">
        <v>1661</v>
      </c>
      <c r="AG108" s="355">
        <v>0</v>
      </c>
      <c r="AH108" s="351">
        <v>129533.14</v>
      </c>
      <c r="AI108" s="356">
        <v>-100</v>
      </c>
      <c r="AJ108" s="355">
        <v>0</v>
      </c>
      <c r="AK108" s="353">
        <v>0</v>
      </c>
      <c r="AL108" s="355">
        <v>53961.06999999999</v>
      </c>
      <c r="AM108" s="356">
        <v>41.658119304449805</v>
      </c>
      <c r="AN108" s="355">
        <v>0</v>
      </c>
      <c r="AO108" s="356">
        <v>0</v>
      </c>
      <c r="AP108" s="355">
        <v>-53961.06999999999</v>
      </c>
      <c r="AQ108" s="351">
        <v>-53961.06999999999</v>
      </c>
      <c r="AR108" s="357">
        <v>0</v>
      </c>
      <c r="AS108" s="355">
        <v>0</v>
      </c>
      <c r="AT108" s="356">
        <v>0</v>
      </c>
      <c r="AU108" s="351">
        <v>0</v>
      </c>
      <c r="AV108" s="356">
        <v>0</v>
      </c>
      <c r="AW108" s="355">
        <v>0</v>
      </c>
      <c r="AX108" s="351">
        <v>0</v>
      </c>
      <c r="AY108" s="369">
        <v>0</v>
      </c>
      <c r="AZ108" s="399">
        <v>44561</v>
      </c>
    </row>
    <row r="109" spans="1:52" ht="12.75" hidden="1" outlineLevel="1">
      <c r="A109" s="394">
        <v>20010</v>
      </c>
      <c r="B109" s="394" t="s">
        <v>616</v>
      </c>
      <c r="C109" s="394" t="s">
        <v>910</v>
      </c>
      <c r="D109" s="395">
        <v>1</v>
      </c>
      <c r="F109" s="349" t="s">
        <v>658</v>
      </c>
      <c r="G109" s="350">
        <v>32844.78</v>
      </c>
      <c r="H109" s="351">
        <v>32260.47</v>
      </c>
      <c r="I109" s="352">
        <v>1.8112259368818793</v>
      </c>
      <c r="J109" s="350">
        <v>41863.619999999995</v>
      </c>
      <c r="K109" s="353">
        <v>127.45897521615306</v>
      </c>
      <c r="L109" s="350">
        <v>23072.39</v>
      </c>
      <c r="M109" s="352">
        <v>71.51907582251592</v>
      </c>
      <c r="N109" s="350">
        <v>36768.03</v>
      </c>
      <c r="O109" s="352">
        <v>111.94482045548791</v>
      </c>
      <c r="P109" s="350">
        <v>18791.229999999996</v>
      </c>
      <c r="Q109" s="351">
        <v>417.89311193854104</v>
      </c>
      <c r="R109" s="354">
        <v>18373.336888061454</v>
      </c>
      <c r="S109" s="350">
        <v>0</v>
      </c>
      <c r="T109" s="352">
        <v>0</v>
      </c>
      <c r="U109" s="351">
        <v>-5095.5899999999965</v>
      </c>
      <c r="V109" s="352">
        <v>-15.514154760665155</v>
      </c>
      <c r="W109" s="350">
        <v>2500</v>
      </c>
      <c r="X109" s="351">
        <v>14753.06</v>
      </c>
      <c r="Y109" s="369">
        <v>2.3595834711025616</v>
      </c>
      <c r="Z109" s="398">
        <v>44926</v>
      </c>
      <c r="AF109" s="381" t="s">
        <v>658</v>
      </c>
      <c r="AG109" s="355">
        <v>184422.96</v>
      </c>
      <c r="AH109" s="351">
        <v>64396.31</v>
      </c>
      <c r="AI109" s="356">
        <v>186.3874653687455</v>
      </c>
      <c r="AJ109" s="355">
        <v>122744.65000000001</v>
      </c>
      <c r="AK109" s="353">
        <v>66.55605679466375</v>
      </c>
      <c r="AL109" s="355">
        <v>43006.97</v>
      </c>
      <c r="AM109" s="356">
        <v>66.7848359634271</v>
      </c>
      <c r="AN109" s="355">
        <v>125447.44</v>
      </c>
      <c r="AO109" s="356">
        <v>68.02159557573526</v>
      </c>
      <c r="AP109" s="355">
        <v>79737.68000000001</v>
      </c>
      <c r="AQ109" s="351">
        <v>80159.60131489678</v>
      </c>
      <c r="AR109" s="357">
        <v>-421.9213148967635</v>
      </c>
      <c r="AS109" s="355">
        <v>0</v>
      </c>
      <c r="AT109" s="356">
        <v>0</v>
      </c>
      <c r="AU109" s="351">
        <v>2702.7899999999936</v>
      </c>
      <c r="AV109" s="356">
        <v>1.4655387810715075</v>
      </c>
      <c r="AW109" s="355">
        <v>2500</v>
      </c>
      <c r="AX109" s="351">
        <v>2500</v>
      </c>
      <c r="AY109" s="369">
        <v>4.947865493537248</v>
      </c>
      <c r="AZ109" s="399">
        <v>44926</v>
      </c>
    </row>
    <row r="110" spans="1:52" ht="12.75" hidden="1" outlineLevel="1">
      <c r="A110" s="394">
        <v>20011</v>
      </c>
      <c r="B110" s="394" t="s">
        <v>616</v>
      </c>
      <c r="C110" s="394" t="s">
        <v>910</v>
      </c>
      <c r="D110" s="395">
        <v>1</v>
      </c>
      <c r="F110" s="349" t="s">
        <v>659</v>
      </c>
      <c r="G110" s="350">
        <v>5549.6</v>
      </c>
      <c r="H110" s="351">
        <v>2714.4</v>
      </c>
      <c r="I110" s="352">
        <v>104.45033893309757</v>
      </c>
      <c r="J110" s="350">
        <v>-659.0699999999997</v>
      </c>
      <c r="K110" s="353">
        <v>-11.875991062418906</v>
      </c>
      <c r="L110" s="350">
        <v>2678.26</v>
      </c>
      <c r="M110" s="352">
        <v>98.66858237547892</v>
      </c>
      <c r="N110" s="350">
        <v>-659.0699999999997</v>
      </c>
      <c r="O110" s="352">
        <v>-11.875991062418906</v>
      </c>
      <c r="P110" s="350">
        <v>-3337.33</v>
      </c>
      <c r="Q110" s="351">
        <v>2797.451647509579</v>
      </c>
      <c r="R110" s="354">
        <v>-6134.781647509579</v>
      </c>
      <c r="S110" s="350">
        <v>0</v>
      </c>
      <c r="T110" s="352">
        <v>0</v>
      </c>
      <c r="U110" s="351">
        <v>0</v>
      </c>
      <c r="V110" s="352">
        <v>0</v>
      </c>
      <c r="W110" s="350">
        <v>0</v>
      </c>
      <c r="X110" s="351">
        <v>-1824.82</v>
      </c>
      <c r="Y110" s="369">
        <v>0</v>
      </c>
      <c r="Z110" s="398">
        <v>44926</v>
      </c>
      <c r="AF110" s="381" t="s">
        <v>659</v>
      </c>
      <c r="AG110" s="355">
        <v>49963.2</v>
      </c>
      <c r="AH110" s="351">
        <v>8056</v>
      </c>
      <c r="AI110" s="356">
        <v>520.1986097318768</v>
      </c>
      <c r="AJ110" s="355">
        <v>22406.229999999996</v>
      </c>
      <c r="AK110" s="353">
        <v>44.84546626316968</v>
      </c>
      <c r="AL110" s="355">
        <v>5993.12</v>
      </c>
      <c r="AM110" s="356">
        <v>74.39324726911619</v>
      </c>
      <c r="AN110" s="355">
        <v>22406.229999999996</v>
      </c>
      <c r="AO110" s="356">
        <v>44.84546626316968</v>
      </c>
      <c r="AP110" s="355">
        <v>16413.109999999997</v>
      </c>
      <c r="AQ110" s="351">
        <v>31176.126919563052</v>
      </c>
      <c r="AR110" s="357">
        <v>-14763.016919563057</v>
      </c>
      <c r="AS110" s="355">
        <v>0</v>
      </c>
      <c r="AT110" s="356">
        <v>0</v>
      </c>
      <c r="AU110" s="351">
        <v>0</v>
      </c>
      <c r="AV110" s="356">
        <v>0</v>
      </c>
      <c r="AW110" s="355">
        <v>0</v>
      </c>
      <c r="AX110" s="351">
        <v>0</v>
      </c>
      <c r="AY110" s="369">
        <v>0</v>
      </c>
      <c r="AZ110" s="399">
        <v>44926</v>
      </c>
    </row>
    <row r="111" spans="1:52" ht="12.75" hidden="1" outlineLevel="1">
      <c r="A111" s="394">
        <v>20012</v>
      </c>
      <c r="B111" s="394" t="s">
        <v>616</v>
      </c>
      <c r="C111" s="394" t="s">
        <v>910</v>
      </c>
      <c r="D111" s="395">
        <v>1</v>
      </c>
      <c r="F111" s="349" t="s">
        <v>660</v>
      </c>
      <c r="G111" s="350">
        <v>24749.44</v>
      </c>
      <c r="H111" s="351">
        <v>13378.4</v>
      </c>
      <c r="I111" s="352">
        <v>84.99551515876338</v>
      </c>
      <c r="J111" s="350">
        <v>21926.69</v>
      </c>
      <c r="K111" s="353">
        <v>88.59469143544258</v>
      </c>
      <c r="L111" s="350">
        <v>113627.04</v>
      </c>
      <c r="M111" s="352">
        <v>849.3320576451594</v>
      </c>
      <c r="N111" s="350">
        <v>21926.69</v>
      </c>
      <c r="O111" s="352">
        <v>88.59469143544258</v>
      </c>
      <c r="P111" s="350">
        <v>-91700.34999999999</v>
      </c>
      <c r="Q111" s="351">
        <v>96577.88800765411</v>
      </c>
      <c r="R111" s="354">
        <v>-188278.23800765412</v>
      </c>
      <c r="S111" s="350">
        <v>0</v>
      </c>
      <c r="T111" s="352">
        <v>0</v>
      </c>
      <c r="U111" s="351">
        <v>0</v>
      </c>
      <c r="V111" s="352">
        <v>0</v>
      </c>
      <c r="W111" s="350">
        <v>133500</v>
      </c>
      <c r="X111" s="351">
        <v>8091.59</v>
      </c>
      <c r="Y111" s="369">
        <v>167.21590468309586</v>
      </c>
      <c r="Z111" s="398">
        <v>44926</v>
      </c>
      <c r="AF111" s="381" t="s">
        <v>660</v>
      </c>
      <c r="AG111" s="355">
        <v>335016.65</v>
      </c>
      <c r="AH111" s="351">
        <v>37479.2</v>
      </c>
      <c r="AI111" s="356">
        <v>793.8735351875175</v>
      </c>
      <c r="AJ111" s="355">
        <v>128744.69</v>
      </c>
      <c r="AK111" s="353">
        <v>38.42934075067612</v>
      </c>
      <c r="AL111" s="355">
        <v>135515.38</v>
      </c>
      <c r="AM111" s="356">
        <v>361.57490021131724</v>
      </c>
      <c r="AN111" s="355">
        <v>300520.49</v>
      </c>
      <c r="AO111" s="356">
        <v>89.70315057475501</v>
      </c>
      <c r="AP111" s="355">
        <v>-6770.690000000002</v>
      </c>
      <c r="AQ111" s="351">
        <v>1075820.737928798</v>
      </c>
      <c r="AR111" s="357">
        <v>-1082591.4279287981</v>
      </c>
      <c r="AS111" s="355">
        <v>0</v>
      </c>
      <c r="AT111" s="356">
        <v>0</v>
      </c>
      <c r="AU111" s="351">
        <v>171775.8</v>
      </c>
      <c r="AV111" s="356">
        <v>51.27380982407889</v>
      </c>
      <c r="AW111" s="355">
        <v>133500</v>
      </c>
      <c r="AX111" s="351">
        <v>3600</v>
      </c>
      <c r="AY111" s="369">
        <v>145.447994898164</v>
      </c>
      <c r="AZ111" s="399">
        <v>44926</v>
      </c>
    </row>
    <row r="112" spans="1:52" ht="12.75" hidden="1" outlineLevel="1">
      <c r="A112" s="394">
        <v>20013</v>
      </c>
      <c r="B112" s="394" t="s">
        <v>616</v>
      </c>
      <c r="C112" s="394" t="s">
        <v>910</v>
      </c>
      <c r="D112" s="395">
        <v>1</v>
      </c>
      <c r="F112" s="349" t="s">
        <v>661</v>
      </c>
      <c r="G112" s="350">
        <v>11688</v>
      </c>
      <c r="H112" s="351">
        <v>12332.8</v>
      </c>
      <c r="I112" s="352">
        <v>-5.2283341982355935</v>
      </c>
      <c r="J112" s="350">
        <v>53926.93</v>
      </c>
      <c r="K112" s="353">
        <v>461.3871492128679</v>
      </c>
      <c r="L112" s="350">
        <v>102282.23</v>
      </c>
      <c r="M112" s="352">
        <v>829.3512422158797</v>
      </c>
      <c r="N112" s="350">
        <v>53926.93</v>
      </c>
      <c r="O112" s="352">
        <v>461.3871492128679</v>
      </c>
      <c r="P112" s="350">
        <v>-48355.299999999996</v>
      </c>
      <c r="Q112" s="351">
        <v>-5347.656809807986</v>
      </c>
      <c r="R112" s="354">
        <v>-43007.643190192015</v>
      </c>
      <c r="S112" s="350">
        <v>0</v>
      </c>
      <c r="T112" s="352">
        <v>0</v>
      </c>
      <c r="U112" s="351">
        <v>0</v>
      </c>
      <c r="V112" s="352">
        <v>0</v>
      </c>
      <c r="W112" s="350">
        <v>92300</v>
      </c>
      <c r="X112" s="351">
        <v>42238.93</v>
      </c>
      <c r="Y112" s="369">
        <v>244.80663928815878</v>
      </c>
      <c r="Z112" s="398">
        <v>44926</v>
      </c>
      <c r="AF112" s="381" t="s">
        <v>661</v>
      </c>
      <c r="AG112" s="355">
        <v>216909</v>
      </c>
      <c r="AH112" s="351">
        <v>31355.2</v>
      </c>
      <c r="AI112" s="356">
        <v>591.7799918354849</v>
      </c>
      <c r="AJ112" s="355">
        <v>215997.48</v>
      </c>
      <c r="AK112" s="353">
        <v>99.57976847433716</v>
      </c>
      <c r="AL112" s="355">
        <v>117541.8</v>
      </c>
      <c r="AM112" s="356">
        <v>374.8717916007552</v>
      </c>
      <c r="AN112" s="355">
        <v>215997.48</v>
      </c>
      <c r="AO112" s="356">
        <v>99.57976847433716</v>
      </c>
      <c r="AP112" s="355">
        <v>98455.68000000001</v>
      </c>
      <c r="AQ112" s="351">
        <v>695588.8544432821</v>
      </c>
      <c r="AR112" s="357">
        <v>-597133.1744432821</v>
      </c>
      <c r="AS112" s="355">
        <v>0</v>
      </c>
      <c r="AT112" s="356">
        <v>0</v>
      </c>
      <c r="AU112" s="351">
        <v>0</v>
      </c>
      <c r="AV112" s="356">
        <v>0</v>
      </c>
      <c r="AW112" s="355">
        <v>92300</v>
      </c>
      <c r="AX112" s="351">
        <v>5700</v>
      </c>
      <c r="AY112" s="369">
        <v>155.31628470925594</v>
      </c>
      <c r="AZ112" s="399">
        <v>44926</v>
      </c>
    </row>
    <row r="113" spans="1:52" ht="12.75" hidden="1" outlineLevel="1">
      <c r="A113" s="394">
        <v>20014</v>
      </c>
      <c r="B113" s="394" t="s">
        <v>616</v>
      </c>
      <c r="C113" s="394" t="s">
        <v>910</v>
      </c>
      <c r="D113" s="395">
        <v>1</v>
      </c>
      <c r="F113" s="349" t="s">
        <v>662</v>
      </c>
      <c r="G113" s="350">
        <v>38823.2</v>
      </c>
      <c r="H113" s="351">
        <v>53912.8</v>
      </c>
      <c r="I113" s="352">
        <v>-27.988900595034956</v>
      </c>
      <c r="J113" s="350">
        <v>79074.03</v>
      </c>
      <c r="K113" s="353">
        <v>203.67725998887263</v>
      </c>
      <c r="L113" s="350">
        <v>81275.96</v>
      </c>
      <c r="M113" s="352">
        <v>150.7544776008666</v>
      </c>
      <c r="N113" s="350">
        <v>79074.03</v>
      </c>
      <c r="O113" s="352">
        <v>203.67725998887263</v>
      </c>
      <c r="P113" s="350">
        <v>-2201.9300000000076</v>
      </c>
      <c r="Q113" s="351">
        <v>-22748.247652060374</v>
      </c>
      <c r="R113" s="354">
        <v>20546.317652060356</v>
      </c>
      <c r="S113" s="350">
        <v>0</v>
      </c>
      <c r="T113" s="352">
        <v>0</v>
      </c>
      <c r="U113" s="351">
        <v>0</v>
      </c>
      <c r="V113" s="352">
        <v>0</v>
      </c>
      <c r="W113" s="350">
        <v>0</v>
      </c>
      <c r="X113" s="351">
        <v>40250.83</v>
      </c>
      <c r="Y113" s="369">
        <v>0</v>
      </c>
      <c r="Z113" s="398">
        <v>44926</v>
      </c>
      <c r="AF113" s="381" t="s">
        <v>662</v>
      </c>
      <c r="AG113" s="355">
        <v>429495.6</v>
      </c>
      <c r="AH113" s="351">
        <v>252286.4</v>
      </c>
      <c r="AI113" s="356">
        <v>70.24128133740066</v>
      </c>
      <c r="AJ113" s="355">
        <v>297765.36</v>
      </c>
      <c r="AK113" s="353">
        <v>69.32908276592357</v>
      </c>
      <c r="AL113" s="355">
        <v>228575</v>
      </c>
      <c r="AM113" s="356">
        <v>90.6013958738957</v>
      </c>
      <c r="AN113" s="355">
        <v>297765.36</v>
      </c>
      <c r="AO113" s="356">
        <v>69.32908276592357</v>
      </c>
      <c r="AP113" s="355">
        <v>69190.35999999999</v>
      </c>
      <c r="AQ113" s="351">
        <v>160554.0088169636</v>
      </c>
      <c r="AR113" s="357">
        <v>-91363.64881696358</v>
      </c>
      <c r="AS113" s="355">
        <v>0</v>
      </c>
      <c r="AT113" s="356">
        <v>0</v>
      </c>
      <c r="AU113" s="351">
        <v>0</v>
      </c>
      <c r="AV113" s="356">
        <v>0</v>
      </c>
      <c r="AW113" s="355">
        <v>0</v>
      </c>
      <c r="AX113" s="351">
        <v>0</v>
      </c>
      <c r="AY113" s="369">
        <v>0</v>
      </c>
      <c r="AZ113" s="399">
        <v>44926</v>
      </c>
    </row>
    <row r="114" spans="1:52" ht="12.75" hidden="1" outlineLevel="1">
      <c r="A114" s="394">
        <v>20015</v>
      </c>
      <c r="B114" s="394" t="s">
        <v>616</v>
      </c>
      <c r="C114" s="394" t="s">
        <v>910</v>
      </c>
      <c r="D114" s="395">
        <v>1</v>
      </c>
      <c r="F114" s="349" t="s">
        <v>1662</v>
      </c>
      <c r="G114" s="350">
        <v>14560</v>
      </c>
      <c r="H114" s="351">
        <v>0</v>
      </c>
      <c r="I114" s="352">
        <v>0</v>
      </c>
      <c r="J114" s="350">
        <v>-21914.93</v>
      </c>
      <c r="K114" s="353">
        <v>-150.5146291208791</v>
      </c>
      <c r="L114" s="350">
        <v>0</v>
      </c>
      <c r="M114" s="352">
        <v>0</v>
      </c>
      <c r="N114" s="350">
        <v>-21914.93</v>
      </c>
      <c r="O114" s="352">
        <v>-150.5146291208791</v>
      </c>
      <c r="P114" s="350">
        <v>-21914.93</v>
      </c>
      <c r="Q114" s="351">
        <v>0</v>
      </c>
      <c r="R114" s="354">
        <v>-21914.93</v>
      </c>
      <c r="S114" s="350">
        <v>0</v>
      </c>
      <c r="T114" s="352">
        <v>0</v>
      </c>
      <c r="U114" s="351">
        <v>0</v>
      </c>
      <c r="V114" s="352">
        <v>0</v>
      </c>
      <c r="W114" s="350">
        <v>0</v>
      </c>
      <c r="X114" s="351">
        <v>-23449.19</v>
      </c>
      <c r="Y114" s="369">
        <v>0</v>
      </c>
      <c r="Z114" s="398">
        <v>44926</v>
      </c>
      <c r="AF114" s="381" t="s">
        <v>1662</v>
      </c>
      <c r="AG114" s="355">
        <v>164625.2</v>
      </c>
      <c r="AH114" s="351">
        <v>0</v>
      </c>
      <c r="AI114" s="356">
        <v>0</v>
      </c>
      <c r="AJ114" s="355">
        <v>19075.24000000002</v>
      </c>
      <c r="AK114" s="353">
        <v>11.58707172413459</v>
      </c>
      <c r="AL114" s="355">
        <v>0</v>
      </c>
      <c r="AM114" s="356">
        <v>0</v>
      </c>
      <c r="AN114" s="355">
        <v>19075.24000000002</v>
      </c>
      <c r="AO114" s="356">
        <v>11.58707172413459</v>
      </c>
      <c r="AP114" s="355">
        <v>19075.24000000002</v>
      </c>
      <c r="AQ114" s="351">
        <v>0</v>
      </c>
      <c r="AR114" s="357">
        <v>19075.24000000002</v>
      </c>
      <c r="AS114" s="355">
        <v>0</v>
      </c>
      <c r="AT114" s="356">
        <v>0</v>
      </c>
      <c r="AU114" s="351">
        <v>0</v>
      </c>
      <c r="AV114" s="356">
        <v>0</v>
      </c>
      <c r="AW114" s="355">
        <v>0</v>
      </c>
      <c r="AX114" s="351">
        <v>0</v>
      </c>
      <c r="AY114" s="369">
        <v>0</v>
      </c>
      <c r="AZ114" s="399">
        <v>44926</v>
      </c>
    </row>
    <row r="115" spans="1:52" ht="12.75" collapsed="1">
      <c r="A115" s="394">
        <v>200</v>
      </c>
      <c r="B115" s="394" t="s">
        <v>627</v>
      </c>
      <c r="C115" s="394" t="s">
        <v>910</v>
      </c>
      <c r="D115" s="395">
        <v>2</v>
      </c>
      <c r="F115" s="349" t="s">
        <v>518</v>
      </c>
      <c r="G115" s="350">
        <v>128215.01999999999</v>
      </c>
      <c r="H115" s="351">
        <v>114598.87000000001</v>
      </c>
      <c r="I115" s="352">
        <v>11.881574399468319</v>
      </c>
      <c r="J115" s="350">
        <v>174217.27</v>
      </c>
      <c r="K115" s="353">
        <v>135.87898672090057</v>
      </c>
      <c r="L115" s="350">
        <v>191574.47999999992</v>
      </c>
      <c r="M115" s="352">
        <v>167.16960647168676</v>
      </c>
      <c r="N115" s="350">
        <v>169121.68</v>
      </c>
      <c r="O115" s="352">
        <v>131.90473315840845</v>
      </c>
      <c r="P115" s="350">
        <v>-17357.209999999934</v>
      </c>
      <c r="Q115" s="351">
        <v>22762.064371594544</v>
      </c>
      <c r="R115" s="354">
        <v>-40119.27437159447</v>
      </c>
      <c r="S115" s="350">
        <v>0</v>
      </c>
      <c r="T115" s="352">
        <v>0</v>
      </c>
      <c r="U115" s="351">
        <v>-5095.5899999999965</v>
      </c>
      <c r="V115" s="352">
        <v>-3.97425356249213</v>
      </c>
      <c r="W115" s="350">
        <v>228300</v>
      </c>
      <c r="X115" s="351">
        <v>78204.4</v>
      </c>
      <c r="Y115" s="369">
        <v>55.198681090561784</v>
      </c>
      <c r="Z115" s="398">
        <v>44561</v>
      </c>
      <c r="AF115" s="381" t="s">
        <v>518</v>
      </c>
      <c r="AG115" s="355">
        <v>1380432.61</v>
      </c>
      <c r="AH115" s="351">
        <v>1465823.96</v>
      </c>
      <c r="AI115" s="356">
        <v>-5.825484664611421</v>
      </c>
      <c r="AJ115" s="355">
        <v>806733.6500000001</v>
      </c>
      <c r="AK115" s="353">
        <v>58.440639851299956</v>
      </c>
      <c r="AL115" s="355">
        <v>975303.25</v>
      </c>
      <c r="AM115" s="356">
        <v>66.53617873731577</v>
      </c>
      <c r="AN115" s="355">
        <v>981212.2400000001</v>
      </c>
      <c r="AO115" s="356">
        <v>71.08005366520572</v>
      </c>
      <c r="AP115" s="355">
        <v>-168569.59999999986</v>
      </c>
      <c r="AQ115" s="351">
        <v>-56816.141262206795</v>
      </c>
      <c r="AR115" s="357">
        <v>-111753.45873779294</v>
      </c>
      <c r="AS115" s="355">
        <v>0</v>
      </c>
      <c r="AT115" s="356">
        <v>0</v>
      </c>
      <c r="AU115" s="351">
        <v>174478.58999999997</v>
      </c>
      <c r="AV115" s="356">
        <v>12.639413813905769</v>
      </c>
      <c r="AW115" s="355">
        <v>228300</v>
      </c>
      <c r="AX115" s="351">
        <v>11800</v>
      </c>
      <c r="AY115" s="369">
        <v>60.36477217095009</v>
      </c>
      <c r="AZ115" s="399">
        <v>44561</v>
      </c>
    </row>
    <row r="116" spans="1:52" ht="12.75" hidden="1" outlineLevel="1">
      <c r="A116" s="394">
        <v>1102</v>
      </c>
      <c r="B116" s="394" t="s">
        <v>616</v>
      </c>
      <c r="C116" s="394" t="s">
        <v>910</v>
      </c>
      <c r="D116" s="395">
        <v>1</v>
      </c>
      <c r="F116" s="349" t="s">
        <v>1664</v>
      </c>
      <c r="G116" s="350">
        <v>0</v>
      </c>
      <c r="H116" s="351">
        <v>0</v>
      </c>
      <c r="I116" s="352">
        <v>0</v>
      </c>
      <c r="J116" s="350">
        <v>0</v>
      </c>
      <c r="K116" s="353">
        <v>0</v>
      </c>
      <c r="L116" s="350">
        <v>-114057.66</v>
      </c>
      <c r="M116" s="352">
        <v>0</v>
      </c>
      <c r="N116" s="350">
        <v>0</v>
      </c>
      <c r="O116" s="352">
        <v>0</v>
      </c>
      <c r="P116" s="350">
        <v>114057.66</v>
      </c>
      <c r="Q116" s="351">
        <v>0</v>
      </c>
      <c r="R116" s="354">
        <v>0</v>
      </c>
      <c r="S116" s="350">
        <v>0</v>
      </c>
      <c r="T116" s="352">
        <v>0</v>
      </c>
      <c r="U116" s="351">
        <v>0</v>
      </c>
      <c r="V116" s="352">
        <v>0</v>
      </c>
      <c r="W116" s="350">
        <v>0</v>
      </c>
      <c r="X116" s="351">
        <v>0</v>
      </c>
      <c r="Y116" s="369">
        <v>0</v>
      </c>
      <c r="Z116" s="398">
        <v>44561</v>
      </c>
      <c r="AF116" s="381" t="s">
        <v>1664</v>
      </c>
      <c r="AG116" s="355">
        <v>0</v>
      </c>
      <c r="AH116" s="351">
        <v>1003059.83</v>
      </c>
      <c r="AI116" s="356">
        <v>-100</v>
      </c>
      <c r="AJ116" s="355">
        <v>0</v>
      </c>
      <c r="AK116" s="353">
        <v>0</v>
      </c>
      <c r="AL116" s="355">
        <v>734577.83</v>
      </c>
      <c r="AM116" s="356">
        <v>73.23370032672926</v>
      </c>
      <c r="AN116" s="355">
        <v>0</v>
      </c>
      <c r="AO116" s="356">
        <v>0</v>
      </c>
      <c r="AP116" s="355">
        <v>-734577.83</v>
      </c>
      <c r="AQ116" s="351">
        <v>-734577.83</v>
      </c>
      <c r="AR116" s="357">
        <v>0</v>
      </c>
      <c r="AS116" s="355">
        <v>0</v>
      </c>
      <c r="AT116" s="356">
        <v>0</v>
      </c>
      <c r="AU116" s="351">
        <v>0</v>
      </c>
      <c r="AV116" s="356">
        <v>0</v>
      </c>
      <c r="AW116" s="355">
        <v>0</v>
      </c>
      <c r="AX116" s="351">
        <v>0</v>
      </c>
      <c r="AY116" s="369">
        <v>0</v>
      </c>
      <c r="AZ116" s="399">
        <v>44561</v>
      </c>
    </row>
    <row r="117" spans="1:52" ht="12.75" hidden="1" outlineLevel="1">
      <c r="A117" s="394">
        <v>1104</v>
      </c>
      <c r="B117" s="394" t="s">
        <v>616</v>
      </c>
      <c r="C117" s="394" t="s">
        <v>910</v>
      </c>
      <c r="D117" s="395">
        <v>1</v>
      </c>
      <c r="F117" s="349" t="s">
        <v>1665</v>
      </c>
      <c r="G117" s="350">
        <v>0</v>
      </c>
      <c r="H117" s="351">
        <v>0</v>
      </c>
      <c r="I117" s="352">
        <v>0</v>
      </c>
      <c r="J117" s="350">
        <v>0</v>
      </c>
      <c r="K117" s="353">
        <v>0</v>
      </c>
      <c r="L117" s="350">
        <v>3.27</v>
      </c>
      <c r="M117" s="352">
        <v>0</v>
      </c>
      <c r="N117" s="350">
        <v>0</v>
      </c>
      <c r="O117" s="352">
        <v>0</v>
      </c>
      <c r="P117" s="350">
        <v>-3.27</v>
      </c>
      <c r="Q117" s="351">
        <v>0</v>
      </c>
      <c r="R117" s="354">
        <v>0</v>
      </c>
      <c r="S117" s="350">
        <v>0</v>
      </c>
      <c r="T117" s="352">
        <v>0</v>
      </c>
      <c r="U117" s="351">
        <v>0</v>
      </c>
      <c r="V117" s="352">
        <v>0</v>
      </c>
      <c r="W117" s="350">
        <v>0</v>
      </c>
      <c r="X117" s="351">
        <v>0</v>
      </c>
      <c r="Y117" s="369">
        <v>0</v>
      </c>
      <c r="Z117" s="398">
        <v>44561</v>
      </c>
      <c r="AF117" s="381" t="s">
        <v>1665</v>
      </c>
      <c r="AG117" s="355">
        <v>0</v>
      </c>
      <c r="AH117" s="351">
        <v>27.52</v>
      </c>
      <c r="AI117" s="356">
        <v>-100</v>
      </c>
      <c r="AJ117" s="355">
        <v>0</v>
      </c>
      <c r="AK117" s="353">
        <v>0</v>
      </c>
      <c r="AL117" s="355">
        <v>27.52</v>
      </c>
      <c r="AM117" s="356">
        <v>100</v>
      </c>
      <c r="AN117" s="355">
        <v>0</v>
      </c>
      <c r="AO117" s="356">
        <v>0</v>
      </c>
      <c r="AP117" s="355">
        <v>-27.52</v>
      </c>
      <c r="AQ117" s="351">
        <v>-27.52</v>
      </c>
      <c r="AR117" s="357">
        <v>0</v>
      </c>
      <c r="AS117" s="355">
        <v>0</v>
      </c>
      <c r="AT117" s="356">
        <v>0</v>
      </c>
      <c r="AU117" s="351">
        <v>0</v>
      </c>
      <c r="AV117" s="356">
        <v>0</v>
      </c>
      <c r="AW117" s="355">
        <v>0</v>
      </c>
      <c r="AX117" s="351">
        <v>0</v>
      </c>
      <c r="AY117" s="369">
        <v>0</v>
      </c>
      <c r="AZ117" s="399">
        <v>44561</v>
      </c>
    </row>
    <row r="118" spans="1:52" ht="12.75" hidden="1" outlineLevel="1">
      <c r="A118" s="394">
        <v>21010</v>
      </c>
      <c r="B118" s="394" t="s">
        <v>616</v>
      </c>
      <c r="C118" s="394" t="s">
        <v>910</v>
      </c>
      <c r="D118" s="395">
        <v>1</v>
      </c>
      <c r="F118" s="349" t="s">
        <v>663</v>
      </c>
      <c r="G118" s="350">
        <v>66182.8</v>
      </c>
      <c r="H118" s="351">
        <v>104068.8</v>
      </c>
      <c r="I118" s="352">
        <v>-36.40476300293652</v>
      </c>
      <c r="J118" s="350">
        <v>45137.47</v>
      </c>
      <c r="K118" s="353">
        <v>68.20120937766308</v>
      </c>
      <c r="L118" s="350">
        <v>153862.69</v>
      </c>
      <c r="M118" s="352">
        <v>147.847087695832</v>
      </c>
      <c r="N118" s="350">
        <v>45137.47</v>
      </c>
      <c r="O118" s="352">
        <v>68.20120937766308</v>
      </c>
      <c r="P118" s="350">
        <v>-108725.22</v>
      </c>
      <c r="Q118" s="351">
        <v>-56013.34764444291</v>
      </c>
      <c r="R118" s="354">
        <v>-52711.8723555571</v>
      </c>
      <c r="S118" s="350">
        <v>0</v>
      </c>
      <c r="T118" s="352">
        <v>0</v>
      </c>
      <c r="U118" s="351">
        <v>0</v>
      </c>
      <c r="V118" s="352">
        <v>0</v>
      </c>
      <c r="W118" s="350">
        <v>82100</v>
      </c>
      <c r="X118" s="351">
        <v>24049.07</v>
      </c>
      <c r="Y118" s="369">
        <v>38.45561082335592</v>
      </c>
      <c r="Z118" s="398">
        <v>44926</v>
      </c>
      <c r="AF118" s="381" t="s">
        <v>663</v>
      </c>
      <c r="AG118" s="355">
        <v>736940.4</v>
      </c>
      <c r="AH118" s="351">
        <v>198596.8</v>
      </c>
      <c r="AI118" s="356">
        <v>271.0736527476778</v>
      </c>
      <c r="AJ118" s="355">
        <v>525091.6000000001</v>
      </c>
      <c r="AK118" s="353">
        <v>71.25292628820459</v>
      </c>
      <c r="AL118" s="355">
        <v>231658.4</v>
      </c>
      <c r="AM118" s="356">
        <v>116.64759955850246</v>
      </c>
      <c r="AN118" s="355">
        <v>626659.0700000001</v>
      </c>
      <c r="AO118" s="356">
        <v>85.03524436982964</v>
      </c>
      <c r="AP118" s="355">
        <v>293433.20000000007</v>
      </c>
      <c r="AQ118" s="351">
        <v>627964.8867768263</v>
      </c>
      <c r="AR118" s="357">
        <v>-334531.6867768262</v>
      </c>
      <c r="AS118" s="355">
        <v>0</v>
      </c>
      <c r="AT118" s="356">
        <v>0</v>
      </c>
      <c r="AU118" s="351">
        <v>101567.46999999997</v>
      </c>
      <c r="AV118" s="356">
        <v>13.782318081625048</v>
      </c>
      <c r="AW118" s="355">
        <v>82100</v>
      </c>
      <c r="AX118" s="351">
        <v>7100</v>
      </c>
      <c r="AY118" s="369">
        <v>40.66339693142078</v>
      </c>
      <c r="AZ118" s="399">
        <v>44926</v>
      </c>
    </row>
    <row r="119" spans="1:52" ht="12.75" hidden="1" outlineLevel="1">
      <c r="A119" s="394">
        <v>21011</v>
      </c>
      <c r="B119" s="394" t="s">
        <v>616</v>
      </c>
      <c r="C119" s="394" t="s">
        <v>910</v>
      </c>
      <c r="D119" s="395">
        <v>1</v>
      </c>
      <c r="F119" s="349" t="s">
        <v>664</v>
      </c>
      <c r="G119" s="350">
        <v>15482.01</v>
      </c>
      <c r="H119" s="351">
        <v>36461.89</v>
      </c>
      <c r="I119" s="352">
        <v>-57.539200518678534</v>
      </c>
      <c r="J119" s="350">
        <v>49637.15</v>
      </c>
      <c r="K119" s="353">
        <v>320.61179394665163</v>
      </c>
      <c r="L119" s="350">
        <v>53462.020000000004</v>
      </c>
      <c r="M119" s="352">
        <v>146.62437959195205</v>
      </c>
      <c r="N119" s="350">
        <v>49637.15</v>
      </c>
      <c r="O119" s="352">
        <v>320.61179394665163</v>
      </c>
      <c r="P119" s="350">
        <v>-3824.8700000000026</v>
      </c>
      <c r="Q119" s="351">
        <v>-30761.618889136025</v>
      </c>
      <c r="R119" s="354">
        <v>26936.748889136026</v>
      </c>
      <c r="S119" s="350">
        <v>0</v>
      </c>
      <c r="T119" s="352">
        <v>0</v>
      </c>
      <c r="U119" s="351">
        <v>0</v>
      </c>
      <c r="V119" s="352">
        <v>0</v>
      </c>
      <c r="W119" s="350">
        <v>0</v>
      </c>
      <c r="X119" s="351">
        <v>34155.14</v>
      </c>
      <c r="Y119" s="369">
        <v>0</v>
      </c>
      <c r="Z119" s="398">
        <v>44926</v>
      </c>
      <c r="AF119" s="381" t="s">
        <v>664</v>
      </c>
      <c r="AG119" s="355">
        <v>316716.77</v>
      </c>
      <c r="AH119" s="351">
        <v>71642.91</v>
      </c>
      <c r="AI119" s="356">
        <v>342.0769201027708</v>
      </c>
      <c r="AJ119" s="355">
        <v>316716.77</v>
      </c>
      <c r="AK119" s="353">
        <v>100</v>
      </c>
      <c r="AL119" s="355">
        <v>71642.91</v>
      </c>
      <c r="AM119" s="356">
        <v>100</v>
      </c>
      <c r="AN119" s="355">
        <v>190274.68000000002</v>
      </c>
      <c r="AO119" s="356">
        <v>60.07723556918064</v>
      </c>
      <c r="AP119" s="355">
        <v>245073.86000000002</v>
      </c>
      <c r="AQ119" s="351">
        <v>245073.86000000002</v>
      </c>
      <c r="AR119" s="357">
        <v>0</v>
      </c>
      <c r="AS119" s="355">
        <v>0</v>
      </c>
      <c r="AT119" s="356">
        <v>0</v>
      </c>
      <c r="AU119" s="351">
        <v>-126442.09</v>
      </c>
      <c r="AV119" s="356">
        <v>-39.92276443081937</v>
      </c>
      <c r="AW119" s="355">
        <v>0</v>
      </c>
      <c r="AX119" s="351">
        <v>0</v>
      </c>
      <c r="AY119" s="369">
        <v>0</v>
      </c>
      <c r="AZ119" s="399">
        <v>44926</v>
      </c>
    </row>
    <row r="120" spans="1:52" ht="12.75" collapsed="1">
      <c r="A120" s="394">
        <v>210</v>
      </c>
      <c r="B120" s="394" t="s">
        <v>627</v>
      </c>
      <c r="C120" s="394" t="s">
        <v>910</v>
      </c>
      <c r="D120" s="395">
        <v>2</v>
      </c>
      <c r="F120" s="349" t="s">
        <v>519</v>
      </c>
      <c r="G120" s="350">
        <v>81664.81</v>
      </c>
      <c r="H120" s="351">
        <v>140530.69</v>
      </c>
      <c r="I120" s="352">
        <v>-41.88827365751923</v>
      </c>
      <c r="J120" s="350">
        <v>94774.62</v>
      </c>
      <c r="K120" s="353">
        <v>116.05319353586937</v>
      </c>
      <c r="L120" s="350">
        <v>93270.32</v>
      </c>
      <c r="M120" s="352">
        <v>66.37007190386669</v>
      </c>
      <c r="N120" s="350">
        <v>94774.62</v>
      </c>
      <c r="O120" s="352">
        <v>116.05319353586937</v>
      </c>
      <c r="P120" s="350">
        <v>1504.2999999999884</v>
      </c>
      <c r="Q120" s="351">
        <v>-39069.32688284389</v>
      </c>
      <c r="R120" s="354">
        <v>40573.62688284387</v>
      </c>
      <c r="S120" s="350">
        <v>0</v>
      </c>
      <c r="T120" s="352">
        <v>0</v>
      </c>
      <c r="U120" s="351">
        <v>0</v>
      </c>
      <c r="V120" s="352">
        <v>0</v>
      </c>
      <c r="W120" s="350">
        <v>82100</v>
      </c>
      <c r="X120" s="351">
        <v>58204.21</v>
      </c>
      <c r="Y120" s="369">
        <v>31.16519832716197</v>
      </c>
      <c r="Z120" s="398">
        <v>44561</v>
      </c>
      <c r="AF120" s="381" t="s">
        <v>519</v>
      </c>
      <c r="AG120" s="355">
        <v>1053657.17</v>
      </c>
      <c r="AH120" s="351">
        <v>1273327.0599999998</v>
      </c>
      <c r="AI120" s="356">
        <v>-17.25164703560136</v>
      </c>
      <c r="AJ120" s="355">
        <v>841808.37</v>
      </c>
      <c r="AK120" s="353">
        <v>79.89395355227356</v>
      </c>
      <c r="AL120" s="355">
        <v>1037906.6599999998</v>
      </c>
      <c r="AM120" s="356">
        <v>81.51139582315953</v>
      </c>
      <c r="AN120" s="355">
        <v>816933.75</v>
      </c>
      <c r="AO120" s="356">
        <v>77.53316479590795</v>
      </c>
      <c r="AP120" s="355">
        <v>-196098.2899999998</v>
      </c>
      <c r="AQ120" s="351">
        <v>-179055.99354219905</v>
      </c>
      <c r="AR120" s="357">
        <v>-17042.29645780086</v>
      </c>
      <c r="AS120" s="355">
        <v>0</v>
      </c>
      <c r="AT120" s="356">
        <v>0</v>
      </c>
      <c r="AU120" s="351">
        <v>-24874.619999999995</v>
      </c>
      <c r="AV120" s="356">
        <v>-2.360788756365602</v>
      </c>
      <c r="AW120" s="355">
        <v>82100</v>
      </c>
      <c r="AX120" s="351">
        <v>7100</v>
      </c>
      <c r="AY120" s="369">
        <v>28.440465127760678</v>
      </c>
      <c r="AZ120" s="399">
        <v>44561</v>
      </c>
    </row>
    <row r="121" spans="1:52" ht="12.75" hidden="1" outlineLevel="1">
      <c r="A121" s="394">
        <v>1101</v>
      </c>
      <c r="B121" s="394" t="s">
        <v>616</v>
      </c>
      <c r="C121" s="394" t="s">
        <v>910</v>
      </c>
      <c r="D121" s="395">
        <v>1</v>
      </c>
      <c r="F121" s="349" t="s">
        <v>1667</v>
      </c>
      <c r="G121" s="350">
        <v>0</v>
      </c>
      <c r="H121" s="351">
        <v>0</v>
      </c>
      <c r="I121" s="352">
        <v>0</v>
      </c>
      <c r="J121" s="350">
        <v>0</v>
      </c>
      <c r="K121" s="353">
        <v>0</v>
      </c>
      <c r="L121" s="350">
        <v>31535.08</v>
      </c>
      <c r="M121" s="352">
        <v>0</v>
      </c>
      <c r="N121" s="350">
        <v>0</v>
      </c>
      <c r="O121" s="352">
        <v>0</v>
      </c>
      <c r="P121" s="350">
        <v>-31535.08</v>
      </c>
      <c r="Q121" s="351">
        <v>0</v>
      </c>
      <c r="R121" s="354">
        <v>0</v>
      </c>
      <c r="S121" s="350">
        <v>0</v>
      </c>
      <c r="T121" s="352">
        <v>0</v>
      </c>
      <c r="U121" s="351">
        <v>0</v>
      </c>
      <c r="V121" s="352">
        <v>0</v>
      </c>
      <c r="W121" s="350">
        <v>0</v>
      </c>
      <c r="X121" s="351">
        <v>0</v>
      </c>
      <c r="Y121" s="369">
        <v>0</v>
      </c>
      <c r="Z121" s="398">
        <v>44561</v>
      </c>
      <c r="AF121" s="381" t="s">
        <v>1667</v>
      </c>
      <c r="AG121" s="355">
        <v>0</v>
      </c>
      <c r="AH121" s="351">
        <v>147203.2</v>
      </c>
      <c r="AI121" s="356">
        <v>-100</v>
      </c>
      <c r="AJ121" s="355">
        <v>0</v>
      </c>
      <c r="AK121" s="353">
        <v>0</v>
      </c>
      <c r="AL121" s="355">
        <v>144563.95</v>
      </c>
      <c r="AM121" s="356">
        <v>98.2070702267342</v>
      </c>
      <c r="AN121" s="355">
        <v>0</v>
      </c>
      <c r="AO121" s="356">
        <v>0</v>
      </c>
      <c r="AP121" s="355">
        <v>-144563.95</v>
      </c>
      <c r="AQ121" s="351">
        <v>-144563.95</v>
      </c>
      <c r="AR121" s="357">
        <v>0</v>
      </c>
      <c r="AS121" s="355">
        <v>0</v>
      </c>
      <c r="AT121" s="356">
        <v>0</v>
      </c>
      <c r="AU121" s="351">
        <v>0</v>
      </c>
      <c r="AV121" s="356">
        <v>0</v>
      </c>
      <c r="AW121" s="355">
        <v>0</v>
      </c>
      <c r="AX121" s="351">
        <v>0</v>
      </c>
      <c r="AY121" s="369">
        <v>0</v>
      </c>
      <c r="AZ121" s="399">
        <v>44561</v>
      </c>
    </row>
    <row r="122" spans="1:52" ht="12.75" hidden="1" outlineLevel="1">
      <c r="A122" s="394">
        <v>21012</v>
      </c>
      <c r="B122" s="394" t="s">
        <v>616</v>
      </c>
      <c r="C122" s="394" t="s">
        <v>910</v>
      </c>
      <c r="D122" s="395">
        <v>1</v>
      </c>
      <c r="F122" s="349" t="s">
        <v>665</v>
      </c>
      <c r="G122" s="350">
        <v>1824</v>
      </c>
      <c r="H122" s="351">
        <v>16320</v>
      </c>
      <c r="I122" s="352">
        <v>-88.8235294117647</v>
      </c>
      <c r="J122" s="350">
        <v>11409</v>
      </c>
      <c r="K122" s="353">
        <v>625.4934210526316</v>
      </c>
      <c r="L122" s="350">
        <v>24574.4</v>
      </c>
      <c r="M122" s="352">
        <v>150.57843137254903</v>
      </c>
      <c r="N122" s="350">
        <v>11409</v>
      </c>
      <c r="O122" s="352">
        <v>625.4934210526316</v>
      </c>
      <c r="P122" s="350">
        <v>-13165.400000000001</v>
      </c>
      <c r="Q122" s="351">
        <v>-21827.849411764706</v>
      </c>
      <c r="R122" s="354">
        <v>8662.449411764706</v>
      </c>
      <c r="S122" s="350">
        <v>0</v>
      </c>
      <c r="T122" s="352">
        <v>0</v>
      </c>
      <c r="U122" s="351">
        <v>0</v>
      </c>
      <c r="V122" s="352">
        <v>0</v>
      </c>
      <c r="W122" s="350">
        <v>0</v>
      </c>
      <c r="X122" s="351">
        <v>9585</v>
      </c>
      <c r="Y122" s="369">
        <v>0</v>
      </c>
      <c r="Z122" s="398">
        <v>44926</v>
      </c>
      <c r="AF122" s="381" t="s">
        <v>665</v>
      </c>
      <c r="AG122" s="355">
        <v>150973.6</v>
      </c>
      <c r="AH122" s="351">
        <v>35888</v>
      </c>
      <c r="AI122" s="356">
        <v>320.6798930004458</v>
      </c>
      <c r="AJ122" s="355">
        <v>150973.6</v>
      </c>
      <c r="AK122" s="353">
        <v>100</v>
      </c>
      <c r="AL122" s="355">
        <v>35888</v>
      </c>
      <c r="AM122" s="356">
        <v>100</v>
      </c>
      <c r="AN122" s="355">
        <v>108037.20000000001</v>
      </c>
      <c r="AO122" s="356">
        <v>71.56032577881167</v>
      </c>
      <c r="AP122" s="355">
        <v>115085.6</v>
      </c>
      <c r="AQ122" s="351">
        <v>115085.6</v>
      </c>
      <c r="AR122" s="357">
        <v>0</v>
      </c>
      <c r="AS122" s="355">
        <v>0</v>
      </c>
      <c r="AT122" s="356">
        <v>0</v>
      </c>
      <c r="AU122" s="351">
        <v>-42936.399999999994</v>
      </c>
      <c r="AV122" s="356">
        <v>-28.439674221188334</v>
      </c>
      <c r="AW122" s="355">
        <v>0</v>
      </c>
      <c r="AX122" s="351">
        <v>0</v>
      </c>
      <c r="AY122" s="369">
        <v>0</v>
      </c>
      <c r="AZ122" s="399">
        <v>44926</v>
      </c>
    </row>
    <row r="123" spans="1:52" ht="12.75" collapsed="1">
      <c r="A123" s="394">
        <v>211</v>
      </c>
      <c r="B123" s="394" t="s">
        <v>627</v>
      </c>
      <c r="C123" s="394" t="s">
        <v>910</v>
      </c>
      <c r="D123" s="395">
        <v>2</v>
      </c>
      <c r="F123" s="349" t="s">
        <v>520</v>
      </c>
      <c r="G123" s="350">
        <v>1824</v>
      </c>
      <c r="H123" s="351">
        <v>16320</v>
      </c>
      <c r="I123" s="352">
        <v>-88.8235294117647</v>
      </c>
      <c r="J123" s="350">
        <v>11409</v>
      </c>
      <c r="K123" s="353">
        <v>625.4934210526316</v>
      </c>
      <c r="L123" s="350">
        <v>56109.48</v>
      </c>
      <c r="M123" s="352">
        <v>343.8080882352941</v>
      </c>
      <c r="N123" s="350">
        <v>11409</v>
      </c>
      <c r="O123" s="352">
        <v>625.4934210526316</v>
      </c>
      <c r="P123" s="350">
        <v>-44700.48</v>
      </c>
      <c r="Q123" s="351">
        <v>-49838.42047058824</v>
      </c>
      <c r="R123" s="354">
        <v>5137.940470588235</v>
      </c>
      <c r="S123" s="350">
        <v>0</v>
      </c>
      <c r="T123" s="352">
        <v>0</v>
      </c>
      <c r="U123" s="351">
        <v>0</v>
      </c>
      <c r="V123" s="352">
        <v>0</v>
      </c>
      <c r="W123" s="350">
        <v>0</v>
      </c>
      <c r="X123" s="351">
        <v>9585</v>
      </c>
      <c r="Y123" s="369">
        <v>0</v>
      </c>
      <c r="Z123" s="398">
        <v>44561</v>
      </c>
      <c r="AF123" s="381" t="s">
        <v>520</v>
      </c>
      <c r="AG123" s="355">
        <v>150973.6</v>
      </c>
      <c r="AH123" s="351">
        <v>183091.2</v>
      </c>
      <c r="AI123" s="356">
        <v>-17.541858920581657</v>
      </c>
      <c r="AJ123" s="355">
        <v>150973.6</v>
      </c>
      <c r="AK123" s="353">
        <v>100</v>
      </c>
      <c r="AL123" s="355">
        <v>180451.95</v>
      </c>
      <c r="AM123" s="356">
        <v>98.55850526950503</v>
      </c>
      <c r="AN123" s="355">
        <v>108037.20000000001</v>
      </c>
      <c r="AO123" s="356">
        <v>71.56032577881167</v>
      </c>
      <c r="AP123" s="355">
        <v>-29478.350000000006</v>
      </c>
      <c r="AQ123" s="351">
        <v>-31654.626488438556</v>
      </c>
      <c r="AR123" s="357">
        <v>2176.2764884385438</v>
      </c>
      <c r="AS123" s="355">
        <v>0</v>
      </c>
      <c r="AT123" s="356">
        <v>0</v>
      </c>
      <c r="AU123" s="351">
        <v>-42936.399999999994</v>
      </c>
      <c r="AV123" s="356">
        <v>-28.439674221188334</v>
      </c>
      <c r="AW123" s="355">
        <v>0</v>
      </c>
      <c r="AX123" s="351">
        <v>0</v>
      </c>
      <c r="AY123" s="369">
        <v>0</v>
      </c>
      <c r="AZ123" s="399">
        <v>44561</v>
      </c>
    </row>
    <row r="124" spans="1:52" ht="12.75" hidden="1" outlineLevel="1">
      <c r="A124" s="394">
        <v>1401</v>
      </c>
      <c r="B124" s="394" t="s">
        <v>616</v>
      </c>
      <c r="C124" s="394" t="s">
        <v>910</v>
      </c>
      <c r="D124" s="395">
        <v>1</v>
      </c>
      <c r="F124" s="349" t="s">
        <v>1669</v>
      </c>
      <c r="G124" s="350">
        <v>0</v>
      </c>
      <c r="H124" s="351">
        <v>0</v>
      </c>
      <c r="I124" s="352">
        <v>0</v>
      </c>
      <c r="J124" s="350">
        <v>0</v>
      </c>
      <c r="K124" s="353">
        <v>0</v>
      </c>
      <c r="L124" s="350">
        <v>0</v>
      </c>
      <c r="M124" s="352">
        <v>0</v>
      </c>
      <c r="N124" s="350">
        <v>0</v>
      </c>
      <c r="O124" s="352">
        <v>0</v>
      </c>
      <c r="P124" s="350">
        <v>0</v>
      </c>
      <c r="Q124" s="351">
        <v>0</v>
      </c>
      <c r="R124" s="354">
        <v>0</v>
      </c>
      <c r="S124" s="350">
        <v>0</v>
      </c>
      <c r="T124" s="352">
        <v>0</v>
      </c>
      <c r="U124" s="351">
        <v>0</v>
      </c>
      <c r="V124" s="352">
        <v>0</v>
      </c>
      <c r="W124" s="350">
        <v>0</v>
      </c>
      <c r="X124" s="351">
        <v>0</v>
      </c>
      <c r="Y124" s="369">
        <v>0</v>
      </c>
      <c r="Z124" s="398">
        <v>0</v>
      </c>
      <c r="AF124" s="381" t="s">
        <v>1669</v>
      </c>
      <c r="AG124" s="355">
        <v>0</v>
      </c>
      <c r="AH124" s="351">
        <v>33520</v>
      </c>
      <c r="AI124" s="356">
        <v>-100</v>
      </c>
      <c r="AJ124" s="355">
        <v>0</v>
      </c>
      <c r="AK124" s="353">
        <v>0</v>
      </c>
      <c r="AL124" s="355">
        <v>33520</v>
      </c>
      <c r="AM124" s="356">
        <v>100</v>
      </c>
      <c r="AN124" s="355">
        <v>0</v>
      </c>
      <c r="AO124" s="356">
        <v>0</v>
      </c>
      <c r="AP124" s="355">
        <v>-33520</v>
      </c>
      <c r="AQ124" s="351">
        <v>-33520</v>
      </c>
      <c r="AR124" s="357">
        <v>0</v>
      </c>
      <c r="AS124" s="355">
        <v>0</v>
      </c>
      <c r="AT124" s="356">
        <v>0</v>
      </c>
      <c r="AU124" s="351">
        <v>0</v>
      </c>
      <c r="AV124" s="356">
        <v>0</v>
      </c>
      <c r="AW124" s="355">
        <v>0</v>
      </c>
      <c r="AX124" s="351">
        <v>0</v>
      </c>
      <c r="AY124" s="369">
        <v>0</v>
      </c>
      <c r="AZ124" s="399">
        <v>0</v>
      </c>
    </row>
    <row r="125" spans="1:52" ht="12.75" collapsed="1">
      <c r="A125" s="394">
        <v>220</v>
      </c>
      <c r="B125" s="394" t="s">
        <v>627</v>
      </c>
      <c r="C125" s="394" t="s">
        <v>910</v>
      </c>
      <c r="D125" s="395">
        <v>2</v>
      </c>
      <c r="F125" s="349" t="s">
        <v>521</v>
      </c>
      <c r="G125" s="350">
        <v>0</v>
      </c>
      <c r="H125" s="351">
        <v>0</v>
      </c>
      <c r="I125" s="352">
        <v>0</v>
      </c>
      <c r="J125" s="350">
        <v>0</v>
      </c>
      <c r="K125" s="353">
        <v>0</v>
      </c>
      <c r="L125" s="350">
        <v>0</v>
      </c>
      <c r="M125" s="352">
        <v>0</v>
      </c>
      <c r="N125" s="350">
        <v>0</v>
      </c>
      <c r="O125" s="352">
        <v>0</v>
      </c>
      <c r="P125" s="350">
        <v>0</v>
      </c>
      <c r="Q125" s="351">
        <v>0</v>
      </c>
      <c r="R125" s="354">
        <v>0</v>
      </c>
      <c r="S125" s="350">
        <v>0</v>
      </c>
      <c r="T125" s="352">
        <v>0</v>
      </c>
      <c r="U125" s="351">
        <v>0</v>
      </c>
      <c r="V125" s="352">
        <v>0</v>
      </c>
      <c r="W125" s="350">
        <v>0</v>
      </c>
      <c r="X125" s="351">
        <v>0</v>
      </c>
      <c r="Y125" s="369">
        <v>0</v>
      </c>
      <c r="Z125" s="398">
        <v>0</v>
      </c>
      <c r="AF125" s="381" t="s">
        <v>521</v>
      </c>
      <c r="AG125" s="355">
        <v>0</v>
      </c>
      <c r="AH125" s="351">
        <v>33520</v>
      </c>
      <c r="AI125" s="356">
        <v>-100</v>
      </c>
      <c r="AJ125" s="355">
        <v>0</v>
      </c>
      <c r="AK125" s="353">
        <v>0</v>
      </c>
      <c r="AL125" s="355">
        <v>33520</v>
      </c>
      <c r="AM125" s="356">
        <v>100</v>
      </c>
      <c r="AN125" s="355">
        <v>0</v>
      </c>
      <c r="AO125" s="356">
        <v>0</v>
      </c>
      <c r="AP125" s="355">
        <v>-33520</v>
      </c>
      <c r="AQ125" s="351">
        <v>-33520</v>
      </c>
      <c r="AR125" s="357">
        <v>0</v>
      </c>
      <c r="AS125" s="355">
        <v>0</v>
      </c>
      <c r="AT125" s="356">
        <v>0</v>
      </c>
      <c r="AU125" s="351">
        <v>0</v>
      </c>
      <c r="AV125" s="356">
        <v>0</v>
      </c>
      <c r="AW125" s="355">
        <v>0</v>
      </c>
      <c r="AX125" s="351">
        <v>0</v>
      </c>
      <c r="AY125" s="369">
        <v>0</v>
      </c>
      <c r="AZ125" s="399">
        <v>0</v>
      </c>
    </row>
    <row r="126" spans="1:52" ht="12.75" hidden="1" outlineLevel="1">
      <c r="A126" s="394">
        <v>99910</v>
      </c>
      <c r="B126" s="394" t="s">
        <v>616</v>
      </c>
      <c r="C126" s="394" t="s">
        <v>910</v>
      </c>
      <c r="D126" s="395">
        <v>1</v>
      </c>
      <c r="F126" s="349" t="s">
        <v>1671</v>
      </c>
      <c r="G126" s="350">
        <v>183.2</v>
      </c>
      <c r="H126" s="351">
        <v>0</v>
      </c>
      <c r="I126" s="352">
        <v>0</v>
      </c>
      <c r="J126" s="350">
        <v>84.19999999999999</v>
      </c>
      <c r="K126" s="353">
        <v>45.960698689956324</v>
      </c>
      <c r="L126" s="350">
        <v>0</v>
      </c>
      <c r="M126" s="352">
        <v>0</v>
      </c>
      <c r="N126" s="350">
        <v>84.19999999999999</v>
      </c>
      <c r="O126" s="352">
        <v>45.960698689956324</v>
      </c>
      <c r="P126" s="350">
        <v>84.19999999999999</v>
      </c>
      <c r="Q126" s="351">
        <v>0</v>
      </c>
      <c r="R126" s="354">
        <v>84.19999999999999</v>
      </c>
      <c r="S126" s="350">
        <v>0</v>
      </c>
      <c r="T126" s="352">
        <v>0</v>
      </c>
      <c r="U126" s="351">
        <v>0</v>
      </c>
      <c r="V126" s="352">
        <v>0</v>
      </c>
      <c r="W126" s="350">
        <v>0</v>
      </c>
      <c r="X126" s="351">
        <v>4996.59</v>
      </c>
      <c r="Y126" s="369">
        <v>0</v>
      </c>
      <c r="Z126" s="398">
        <v>0</v>
      </c>
      <c r="AF126" s="381" t="s">
        <v>1671</v>
      </c>
      <c r="AG126" s="355">
        <v>8972</v>
      </c>
      <c r="AH126" s="351">
        <v>0</v>
      </c>
      <c r="AI126" s="356">
        <v>0</v>
      </c>
      <c r="AJ126" s="355">
        <v>3876.41</v>
      </c>
      <c r="AK126" s="353">
        <v>43.205639768167636</v>
      </c>
      <c r="AL126" s="355">
        <v>0</v>
      </c>
      <c r="AM126" s="356">
        <v>0</v>
      </c>
      <c r="AN126" s="355">
        <v>3876.41</v>
      </c>
      <c r="AO126" s="356">
        <v>43.205639768167636</v>
      </c>
      <c r="AP126" s="355">
        <v>3876.41</v>
      </c>
      <c r="AQ126" s="351">
        <v>0</v>
      </c>
      <c r="AR126" s="357">
        <v>3876.41</v>
      </c>
      <c r="AS126" s="355">
        <v>0</v>
      </c>
      <c r="AT126" s="356">
        <v>0</v>
      </c>
      <c r="AU126" s="351">
        <v>0</v>
      </c>
      <c r="AV126" s="356">
        <v>0</v>
      </c>
      <c r="AW126" s="355">
        <v>0</v>
      </c>
      <c r="AX126" s="351">
        <v>0</v>
      </c>
      <c r="AY126" s="369">
        <v>0</v>
      </c>
      <c r="AZ126" s="399">
        <v>0</v>
      </c>
    </row>
    <row r="127" spans="1:52" ht="12.75" collapsed="1">
      <c r="A127" s="394">
        <v>240</v>
      </c>
      <c r="B127" s="394" t="s">
        <v>627</v>
      </c>
      <c r="C127" s="394" t="s">
        <v>910</v>
      </c>
      <c r="D127" s="395">
        <v>2</v>
      </c>
      <c r="F127" s="349" t="s">
        <v>666</v>
      </c>
      <c r="G127" s="350">
        <v>183.2</v>
      </c>
      <c r="H127" s="351">
        <v>0</v>
      </c>
      <c r="I127" s="352">
        <v>0</v>
      </c>
      <c r="J127" s="350">
        <v>84.19999999999999</v>
      </c>
      <c r="K127" s="353">
        <v>45.960698689956324</v>
      </c>
      <c r="L127" s="350">
        <v>0</v>
      </c>
      <c r="M127" s="352">
        <v>0</v>
      </c>
      <c r="N127" s="350">
        <v>84.19999999999999</v>
      </c>
      <c r="O127" s="352">
        <v>45.960698689956324</v>
      </c>
      <c r="P127" s="350">
        <v>84.19999999999999</v>
      </c>
      <c r="Q127" s="351">
        <v>0</v>
      </c>
      <c r="R127" s="354">
        <v>84.19999999999999</v>
      </c>
      <c r="S127" s="350">
        <v>0</v>
      </c>
      <c r="T127" s="352">
        <v>0</v>
      </c>
      <c r="U127" s="351">
        <v>0</v>
      </c>
      <c r="V127" s="352">
        <v>0</v>
      </c>
      <c r="W127" s="350">
        <v>0</v>
      </c>
      <c r="X127" s="351">
        <v>4996.59</v>
      </c>
      <c r="Y127" s="369">
        <v>0</v>
      </c>
      <c r="Z127" s="398">
        <v>0</v>
      </c>
      <c r="AF127" s="381" t="s">
        <v>666</v>
      </c>
      <c r="AG127" s="355">
        <v>8972</v>
      </c>
      <c r="AH127" s="351">
        <v>0</v>
      </c>
      <c r="AI127" s="356">
        <v>0</v>
      </c>
      <c r="AJ127" s="355">
        <v>3876.41</v>
      </c>
      <c r="AK127" s="353">
        <v>43.205639768167636</v>
      </c>
      <c r="AL127" s="355">
        <v>0</v>
      </c>
      <c r="AM127" s="356">
        <v>0</v>
      </c>
      <c r="AN127" s="355">
        <v>3876.41</v>
      </c>
      <c r="AO127" s="356">
        <v>43.205639768167636</v>
      </c>
      <c r="AP127" s="355">
        <v>3876.41</v>
      </c>
      <c r="AQ127" s="351">
        <v>0</v>
      </c>
      <c r="AR127" s="357">
        <v>3876.41</v>
      </c>
      <c r="AS127" s="355">
        <v>0</v>
      </c>
      <c r="AT127" s="356">
        <v>0</v>
      </c>
      <c r="AU127" s="351">
        <v>0</v>
      </c>
      <c r="AV127" s="356">
        <v>0</v>
      </c>
      <c r="AW127" s="355">
        <v>0</v>
      </c>
      <c r="AX127" s="351">
        <v>0</v>
      </c>
      <c r="AY127" s="369">
        <v>0</v>
      </c>
      <c r="AZ127" s="399">
        <v>0</v>
      </c>
    </row>
    <row r="128" spans="1:52" ht="12.75" hidden="1" outlineLevel="1">
      <c r="A128" s="394">
        <v>2506</v>
      </c>
      <c r="B128" s="394" t="s">
        <v>616</v>
      </c>
      <c r="C128" s="394" t="s">
        <v>910</v>
      </c>
      <c r="D128" s="395">
        <v>1</v>
      </c>
      <c r="F128" s="349" t="s">
        <v>530</v>
      </c>
      <c r="G128" s="350">
        <v>0</v>
      </c>
      <c r="H128" s="351">
        <v>0</v>
      </c>
      <c r="I128" s="352">
        <v>0</v>
      </c>
      <c r="J128" s="350">
        <v>0</v>
      </c>
      <c r="K128" s="353">
        <v>0</v>
      </c>
      <c r="L128" s="350">
        <v>-9489.41</v>
      </c>
      <c r="M128" s="352">
        <v>0</v>
      </c>
      <c r="N128" s="350">
        <v>0</v>
      </c>
      <c r="O128" s="352">
        <v>0</v>
      </c>
      <c r="P128" s="350">
        <v>9489.41</v>
      </c>
      <c r="Q128" s="351">
        <v>0</v>
      </c>
      <c r="R128" s="354">
        <v>0</v>
      </c>
      <c r="S128" s="350">
        <v>0</v>
      </c>
      <c r="T128" s="352">
        <v>0</v>
      </c>
      <c r="U128" s="351">
        <v>0</v>
      </c>
      <c r="V128" s="352">
        <v>0</v>
      </c>
      <c r="W128" s="350">
        <v>0</v>
      </c>
      <c r="X128" s="351">
        <v>0</v>
      </c>
      <c r="Y128" s="369">
        <v>0</v>
      </c>
      <c r="Z128" s="398">
        <v>44561</v>
      </c>
      <c r="AF128" s="381" t="s">
        <v>530</v>
      </c>
      <c r="AG128" s="355">
        <v>0</v>
      </c>
      <c r="AH128" s="351">
        <v>48307.94</v>
      </c>
      <c r="AI128" s="356">
        <v>-100</v>
      </c>
      <c r="AJ128" s="355">
        <v>0</v>
      </c>
      <c r="AK128" s="353">
        <v>0</v>
      </c>
      <c r="AL128" s="355">
        <v>-7887.8499999999985</v>
      </c>
      <c r="AM128" s="356">
        <v>-16.32826818945291</v>
      </c>
      <c r="AN128" s="355">
        <v>0</v>
      </c>
      <c r="AO128" s="356">
        <v>0</v>
      </c>
      <c r="AP128" s="355">
        <v>7887.8499999999985</v>
      </c>
      <c r="AQ128" s="351">
        <v>7887.8499999999985</v>
      </c>
      <c r="AR128" s="357">
        <v>0</v>
      </c>
      <c r="AS128" s="355">
        <v>0</v>
      </c>
      <c r="AT128" s="356">
        <v>0</v>
      </c>
      <c r="AU128" s="351">
        <v>0</v>
      </c>
      <c r="AV128" s="356">
        <v>0</v>
      </c>
      <c r="AW128" s="355">
        <v>0</v>
      </c>
      <c r="AX128" s="351">
        <v>0</v>
      </c>
      <c r="AY128" s="369">
        <v>0</v>
      </c>
      <c r="AZ128" s="399">
        <v>44561</v>
      </c>
    </row>
    <row r="129" spans="1:52" ht="12.75" hidden="1" outlineLevel="1">
      <c r="A129" s="394">
        <v>25010</v>
      </c>
      <c r="B129" s="394" t="s">
        <v>616</v>
      </c>
      <c r="C129" s="394" t="s">
        <v>910</v>
      </c>
      <c r="D129" s="395">
        <v>1</v>
      </c>
      <c r="F129" s="349" t="s">
        <v>667</v>
      </c>
      <c r="G129" s="350">
        <v>2441.55</v>
      </c>
      <c r="H129" s="351">
        <v>2737.8</v>
      </c>
      <c r="I129" s="352">
        <v>-10.820731974578129</v>
      </c>
      <c r="J129" s="350">
        <v>-5571.97</v>
      </c>
      <c r="K129" s="353">
        <v>-228.2144539329524</v>
      </c>
      <c r="L129" s="350">
        <v>6804.26</v>
      </c>
      <c r="M129" s="352">
        <v>248.53020673533493</v>
      </c>
      <c r="N129" s="350">
        <v>-5593.52</v>
      </c>
      <c r="O129" s="352">
        <v>-229.09708996334294</v>
      </c>
      <c r="P129" s="350">
        <v>-12376.23</v>
      </c>
      <c r="Q129" s="351">
        <v>-736.2707374534298</v>
      </c>
      <c r="R129" s="354">
        <v>-11639.959262546572</v>
      </c>
      <c r="S129" s="350">
        <v>0</v>
      </c>
      <c r="T129" s="352">
        <v>0</v>
      </c>
      <c r="U129" s="351">
        <v>-21.550000000000182</v>
      </c>
      <c r="V129" s="352">
        <v>-0.882636030390538</v>
      </c>
      <c r="W129" s="350">
        <v>3400</v>
      </c>
      <c r="X129" s="351">
        <v>-5591.24</v>
      </c>
      <c r="Y129" s="369">
        <v>43.16929819172247</v>
      </c>
      <c r="Z129" s="398">
        <v>44926</v>
      </c>
      <c r="AF129" s="381" t="s">
        <v>667</v>
      </c>
      <c r="AG129" s="355">
        <v>37791.91</v>
      </c>
      <c r="AH129" s="351">
        <v>8062.5</v>
      </c>
      <c r="AI129" s="356">
        <v>368.7368682170543</v>
      </c>
      <c r="AJ129" s="355">
        <v>-5324.609999999993</v>
      </c>
      <c r="AK129" s="353">
        <v>-14.089285246498504</v>
      </c>
      <c r="AL129" s="355">
        <v>6848.96</v>
      </c>
      <c r="AM129" s="356">
        <v>84.94834108527132</v>
      </c>
      <c r="AN129" s="355">
        <v>-5593.519999999997</v>
      </c>
      <c r="AO129" s="356">
        <v>-14.800839650602459</v>
      </c>
      <c r="AP129" s="355">
        <v>-12173.569999999992</v>
      </c>
      <c r="AQ129" s="351">
        <v>25254.640609438764</v>
      </c>
      <c r="AR129" s="357">
        <v>-37428.21060943876</v>
      </c>
      <c r="AS129" s="355">
        <v>0</v>
      </c>
      <c r="AT129" s="356">
        <v>0</v>
      </c>
      <c r="AU129" s="351">
        <v>-268.9100000000035</v>
      </c>
      <c r="AV129" s="356">
        <v>-0.7115544041039563</v>
      </c>
      <c r="AW129" s="355">
        <v>3400</v>
      </c>
      <c r="AX129" s="351">
        <v>-1300</v>
      </c>
      <c r="AY129" s="369">
        <v>32.83771579684647</v>
      </c>
      <c r="AZ129" s="399">
        <v>44926</v>
      </c>
    </row>
    <row r="130" spans="1:52" ht="12.75" collapsed="1">
      <c r="A130" s="394">
        <v>250</v>
      </c>
      <c r="B130" s="394" t="s">
        <v>627</v>
      </c>
      <c r="C130" s="394" t="s">
        <v>910</v>
      </c>
      <c r="D130" s="395">
        <v>2</v>
      </c>
      <c r="F130" s="349" t="s">
        <v>522</v>
      </c>
      <c r="G130" s="350">
        <v>2441.55</v>
      </c>
      <c r="H130" s="351">
        <v>2737.8</v>
      </c>
      <c r="I130" s="352">
        <v>-10.820731974578129</v>
      </c>
      <c r="J130" s="350">
        <v>-5571.97</v>
      </c>
      <c r="K130" s="353">
        <v>-228.2144539329524</v>
      </c>
      <c r="L130" s="350">
        <v>-2685.1499999999996</v>
      </c>
      <c r="M130" s="352">
        <v>-98.07692307692305</v>
      </c>
      <c r="N130" s="350">
        <v>-5593.52</v>
      </c>
      <c r="O130" s="352">
        <v>-229.09708996334294</v>
      </c>
      <c r="P130" s="350">
        <v>-2886.8200000000006</v>
      </c>
      <c r="Q130" s="351">
        <v>290.5528846153846</v>
      </c>
      <c r="R130" s="354">
        <v>-3177.3728846153854</v>
      </c>
      <c r="S130" s="350">
        <v>0</v>
      </c>
      <c r="T130" s="352">
        <v>0</v>
      </c>
      <c r="U130" s="351">
        <v>-21.550000000000182</v>
      </c>
      <c r="V130" s="352">
        <v>-0.882636030390538</v>
      </c>
      <c r="W130" s="350">
        <v>3400</v>
      </c>
      <c r="X130" s="351">
        <v>-5591.24</v>
      </c>
      <c r="Y130" s="369">
        <v>43.16929819172247</v>
      </c>
      <c r="Z130" s="398">
        <v>44561</v>
      </c>
      <c r="AF130" s="381" t="s">
        <v>522</v>
      </c>
      <c r="AG130" s="355">
        <v>37791.91</v>
      </c>
      <c r="AH130" s="351">
        <v>56370.44</v>
      </c>
      <c r="AI130" s="356">
        <v>-32.957929723450796</v>
      </c>
      <c r="AJ130" s="355">
        <v>-5324.609999999993</v>
      </c>
      <c r="AK130" s="353">
        <v>-14.089285246498504</v>
      </c>
      <c r="AL130" s="355">
        <v>-1038.8899999999994</v>
      </c>
      <c r="AM130" s="356">
        <v>-1.8429694712335036</v>
      </c>
      <c r="AN130" s="355">
        <v>-5593.519999999997</v>
      </c>
      <c r="AO130" s="356">
        <v>-14.800839650602459</v>
      </c>
      <c r="AP130" s="355">
        <v>-4285.719999999994</v>
      </c>
      <c r="AQ130" s="351">
        <v>342.3966361039578</v>
      </c>
      <c r="AR130" s="357">
        <v>-4628.116636103951</v>
      </c>
      <c r="AS130" s="355">
        <v>0</v>
      </c>
      <c r="AT130" s="356">
        <v>0</v>
      </c>
      <c r="AU130" s="351">
        <v>-268.9100000000035</v>
      </c>
      <c r="AV130" s="356">
        <v>-0.7115544041039563</v>
      </c>
      <c r="AW130" s="355">
        <v>3400</v>
      </c>
      <c r="AX130" s="351">
        <v>-1300</v>
      </c>
      <c r="AY130" s="369">
        <v>32.83771579684647</v>
      </c>
      <c r="AZ130" s="399">
        <v>44561</v>
      </c>
    </row>
    <row r="131" spans="1:52" ht="12.75">
      <c r="A131" s="394">
        <v>40</v>
      </c>
      <c r="B131" s="394" t="s">
        <v>617</v>
      </c>
      <c r="C131" s="394" t="s">
        <v>910</v>
      </c>
      <c r="D131" s="395">
        <v>3</v>
      </c>
      <c r="F131" s="349" t="s">
        <v>927</v>
      </c>
      <c r="G131" s="350">
        <v>734935.0200000003</v>
      </c>
      <c r="H131" s="351">
        <v>831346.1700000002</v>
      </c>
      <c r="I131" s="352">
        <v>-11.596992141071617</v>
      </c>
      <c r="J131" s="350">
        <v>352685.8800000003</v>
      </c>
      <c r="K131" s="353">
        <v>47.988716063632424</v>
      </c>
      <c r="L131" s="350">
        <v>407427.23999999976</v>
      </c>
      <c r="M131" s="352">
        <v>49.00813339887038</v>
      </c>
      <c r="N131" s="350">
        <v>355899.8900000002</v>
      </c>
      <c r="O131" s="352">
        <v>48.426034998305035</v>
      </c>
      <c r="P131" s="350">
        <v>-54741.35999999946</v>
      </c>
      <c r="Q131" s="351">
        <v>-47249.30500338497</v>
      </c>
      <c r="R131" s="354">
        <v>-7492.054996614488</v>
      </c>
      <c r="S131" s="350">
        <v>12546.169999999998</v>
      </c>
      <c r="T131" s="352">
        <v>1.7071128274714673</v>
      </c>
      <c r="U131" s="351">
        <v>-9332.160000000105</v>
      </c>
      <c r="V131" s="352">
        <v>-1.2697938927988628</v>
      </c>
      <c r="W131" s="350">
        <v>721900</v>
      </c>
      <c r="X131" s="351">
        <v>6028.409999999991</v>
      </c>
      <c r="Y131" s="369">
        <v>30.45017503724342</v>
      </c>
      <c r="Z131" s="398">
        <v>0</v>
      </c>
      <c r="AF131" s="381" t="s">
        <v>927</v>
      </c>
      <c r="AG131" s="355">
        <v>9529147.94</v>
      </c>
      <c r="AH131" s="351">
        <v>11813639.529999996</v>
      </c>
      <c r="AI131" s="356">
        <v>-19.337745867382132</v>
      </c>
      <c r="AJ131" s="355">
        <v>4782475.1099999985</v>
      </c>
      <c r="AK131" s="353">
        <v>50.18785667000568</v>
      </c>
      <c r="AL131" s="355">
        <v>5686671.9999999935</v>
      </c>
      <c r="AM131" s="356">
        <v>48.136494985808966</v>
      </c>
      <c r="AN131" s="355">
        <v>5042738.689999999</v>
      </c>
      <c r="AO131" s="356">
        <v>52.91909330982639</v>
      </c>
      <c r="AP131" s="355">
        <v>-904196.889999995</v>
      </c>
      <c r="AQ131" s="351">
        <v>-1099674.1796715755</v>
      </c>
      <c r="AR131" s="357">
        <v>195477.2896715808</v>
      </c>
      <c r="AS131" s="355">
        <v>87783.04000000001</v>
      </c>
      <c r="AT131" s="356">
        <v>0.9212055532427803</v>
      </c>
      <c r="AU131" s="351">
        <v>172480.54000000007</v>
      </c>
      <c r="AV131" s="356">
        <v>1.8100310865779263</v>
      </c>
      <c r="AW131" s="355">
        <v>721900</v>
      </c>
      <c r="AX131" s="351">
        <v>-42700</v>
      </c>
      <c r="AY131" s="369">
        <v>27.651318004409113</v>
      </c>
      <c r="AZ131" s="399">
        <v>0</v>
      </c>
    </row>
    <row r="132" spans="1:52" ht="12.75" hidden="1" outlineLevel="1">
      <c r="A132" s="394">
        <v>0</v>
      </c>
      <c r="B132" s="394" t="s">
        <v>616</v>
      </c>
      <c r="C132" s="394" t="s">
        <v>910</v>
      </c>
      <c r="D132" s="395">
        <v>1</v>
      </c>
      <c r="F132" s="349" t="s">
        <v>1675</v>
      </c>
      <c r="G132" s="350">
        <v>32</v>
      </c>
      <c r="H132" s="351">
        <v>20</v>
      </c>
      <c r="I132" s="352">
        <v>60</v>
      </c>
      <c r="J132" s="350">
        <v>32</v>
      </c>
      <c r="K132" s="353">
        <v>100</v>
      </c>
      <c r="L132" s="350">
        <v>20</v>
      </c>
      <c r="M132" s="352">
        <v>100</v>
      </c>
      <c r="N132" s="350">
        <v>0</v>
      </c>
      <c r="O132" s="352">
        <v>0</v>
      </c>
      <c r="P132" s="350">
        <v>12</v>
      </c>
      <c r="Q132" s="351">
        <v>12</v>
      </c>
      <c r="R132" s="354">
        <v>0</v>
      </c>
      <c r="S132" s="350">
        <v>0</v>
      </c>
      <c r="T132" s="352">
        <v>0</v>
      </c>
      <c r="U132" s="351">
        <v>-32</v>
      </c>
      <c r="V132" s="352">
        <v>-100</v>
      </c>
      <c r="W132" s="350">
        <v>0</v>
      </c>
      <c r="X132" s="351">
        <v>0</v>
      </c>
      <c r="Y132" s="369">
        <v>0</v>
      </c>
      <c r="Z132" s="398">
        <v>0</v>
      </c>
      <c r="AF132" s="381" t="s">
        <v>1675</v>
      </c>
      <c r="AG132" s="355">
        <v>288.23</v>
      </c>
      <c r="AH132" s="351">
        <v>200</v>
      </c>
      <c r="AI132" s="356">
        <v>44.11500000000001</v>
      </c>
      <c r="AJ132" s="355">
        <v>288.23</v>
      </c>
      <c r="AK132" s="353">
        <v>100</v>
      </c>
      <c r="AL132" s="355">
        <v>200</v>
      </c>
      <c r="AM132" s="356">
        <v>100</v>
      </c>
      <c r="AN132" s="355">
        <v>0</v>
      </c>
      <c r="AO132" s="356">
        <v>0</v>
      </c>
      <c r="AP132" s="355">
        <v>88.23000000000002</v>
      </c>
      <c r="AQ132" s="351">
        <v>88.23000000000002</v>
      </c>
      <c r="AR132" s="357">
        <v>0</v>
      </c>
      <c r="AS132" s="355">
        <v>0</v>
      </c>
      <c r="AT132" s="356">
        <v>0</v>
      </c>
      <c r="AU132" s="351">
        <v>-288.23</v>
      </c>
      <c r="AV132" s="356">
        <v>-100</v>
      </c>
      <c r="AW132" s="355">
        <v>0</v>
      </c>
      <c r="AX132" s="351">
        <v>0</v>
      </c>
      <c r="AY132" s="369">
        <v>0</v>
      </c>
      <c r="AZ132" s="399">
        <v>0</v>
      </c>
    </row>
    <row r="133" spans="1:52" ht="12.75" collapsed="1">
      <c r="A133" s="394">
        <v>0</v>
      </c>
      <c r="B133" s="394" t="s">
        <v>617</v>
      </c>
      <c r="C133" s="394" t="s">
        <v>910</v>
      </c>
      <c r="D133" s="395">
        <v>3</v>
      </c>
      <c r="F133" s="349" t="s">
        <v>1677</v>
      </c>
      <c r="G133" s="350">
        <v>32</v>
      </c>
      <c r="H133" s="351">
        <v>20</v>
      </c>
      <c r="I133" s="352">
        <v>60</v>
      </c>
      <c r="J133" s="350">
        <v>32</v>
      </c>
      <c r="K133" s="353">
        <v>100</v>
      </c>
      <c r="L133" s="350">
        <v>20</v>
      </c>
      <c r="M133" s="352">
        <v>100</v>
      </c>
      <c r="N133" s="350">
        <v>0</v>
      </c>
      <c r="O133" s="352">
        <v>0</v>
      </c>
      <c r="P133" s="350">
        <v>12</v>
      </c>
      <c r="Q133" s="351">
        <v>12</v>
      </c>
      <c r="R133" s="354">
        <v>0</v>
      </c>
      <c r="S133" s="350">
        <v>0</v>
      </c>
      <c r="T133" s="352">
        <v>0</v>
      </c>
      <c r="U133" s="351">
        <v>-32</v>
      </c>
      <c r="V133" s="352">
        <v>-100</v>
      </c>
      <c r="W133" s="350">
        <v>0</v>
      </c>
      <c r="X133" s="351">
        <v>0</v>
      </c>
      <c r="Y133" s="369">
        <v>0</v>
      </c>
      <c r="Z133" s="398">
        <v>0</v>
      </c>
      <c r="AF133" s="381" t="s">
        <v>1677</v>
      </c>
      <c r="AG133" s="355">
        <v>288.23</v>
      </c>
      <c r="AH133" s="351">
        <v>200</v>
      </c>
      <c r="AI133" s="356">
        <v>44.11500000000001</v>
      </c>
      <c r="AJ133" s="355">
        <v>288.23</v>
      </c>
      <c r="AK133" s="353">
        <v>100</v>
      </c>
      <c r="AL133" s="355">
        <v>200</v>
      </c>
      <c r="AM133" s="356">
        <v>100</v>
      </c>
      <c r="AN133" s="355">
        <v>0</v>
      </c>
      <c r="AO133" s="356">
        <v>0</v>
      </c>
      <c r="AP133" s="355">
        <v>88.23000000000002</v>
      </c>
      <c r="AQ133" s="351">
        <v>88.23000000000002</v>
      </c>
      <c r="AR133" s="357">
        <v>0</v>
      </c>
      <c r="AS133" s="355">
        <v>0</v>
      </c>
      <c r="AT133" s="356">
        <v>0</v>
      </c>
      <c r="AU133" s="351">
        <v>-288.23</v>
      </c>
      <c r="AV133" s="356">
        <v>-100</v>
      </c>
      <c r="AW133" s="355">
        <v>0</v>
      </c>
      <c r="AX133" s="351">
        <v>0</v>
      </c>
      <c r="AY133" s="369">
        <v>0</v>
      </c>
      <c r="AZ133" s="399">
        <v>0</v>
      </c>
    </row>
    <row r="134" spans="1:52" ht="12.75">
      <c r="A134" s="394" t="s">
        <v>1678</v>
      </c>
      <c r="B134" s="394" t="s">
        <v>616</v>
      </c>
      <c r="C134" s="394" t="s">
        <v>910</v>
      </c>
      <c r="D134" s="395">
        <v>4</v>
      </c>
      <c r="F134" s="349" t="s">
        <v>593</v>
      </c>
      <c r="G134" s="350">
        <v>2421954.489999999</v>
      </c>
      <c r="H134" s="351">
        <v>2288704.41</v>
      </c>
      <c r="I134" s="352">
        <v>5.822074681981264</v>
      </c>
      <c r="J134" s="350">
        <v>409326.2699999988</v>
      </c>
      <c r="K134" s="353">
        <v>16.900659021053652</v>
      </c>
      <c r="L134" s="350">
        <v>435950.69999999995</v>
      </c>
      <c r="M134" s="352">
        <v>19.04792502234921</v>
      </c>
      <c r="N134" s="350">
        <v>412508.27999999863</v>
      </c>
      <c r="O134" s="352">
        <v>17.03204092823391</v>
      </c>
      <c r="P134" s="350">
        <v>-26624.430000001157</v>
      </c>
      <c r="Q134" s="351">
        <v>25381.375330620092</v>
      </c>
      <c r="R134" s="354">
        <v>-52005.80533062128</v>
      </c>
      <c r="S134" s="350">
        <v>12546.169999999998</v>
      </c>
      <c r="T134" s="352">
        <v>0.5180184042186525</v>
      </c>
      <c r="U134" s="351">
        <v>-9364.160000000164</v>
      </c>
      <c r="V134" s="352">
        <v>-0.38663649703839675</v>
      </c>
      <c r="W134" s="350">
        <v>1355700</v>
      </c>
      <c r="X134" s="351">
        <v>-129971.58999999994</v>
      </c>
      <c r="Y134" s="369">
        <v>17.352390465437697</v>
      </c>
      <c r="Z134" s="398">
        <v>0</v>
      </c>
      <c r="AF134" s="381" t="s">
        <v>593</v>
      </c>
      <c r="AG134" s="355">
        <v>34577320.859999985</v>
      </c>
      <c r="AH134" s="351">
        <v>34025940.58</v>
      </c>
      <c r="AI134" s="356">
        <v>1.6204703546801595</v>
      </c>
      <c r="AJ134" s="355">
        <v>5937222.699999984</v>
      </c>
      <c r="AK134" s="353">
        <v>17.170858101005535</v>
      </c>
      <c r="AL134" s="355">
        <v>7018201.379999998</v>
      </c>
      <c r="AM134" s="356">
        <v>20.626031963757686</v>
      </c>
      <c r="AN134" s="355">
        <v>6197198.0500000045</v>
      </c>
      <c r="AO134" s="356">
        <v>17.922724768329573</v>
      </c>
      <c r="AP134" s="355">
        <v>-1080978.6800000137</v>
      </c>
      <c r="AQ134" s="351">
        <v>113727.87279465381</v>
      </c>
      <c r="AR134" s="357">
        <v>-1194706.5527946665</v>
      </c>
      <c r="AS134" s="355">
        <v>87783.04000000001</v>
      </c>
      <c r="AT134" s="356">
        <v>0.2538746143908156</v>
      </c>
      <c r="AU134" s="351">
        <v>172192.3100000201</v>
      </c>
      <c r="AV134" s="356">
        <v>0.4979920529332191</v>
      </c>
      <c r="AW134" s="355">
        <v>1355700</v>
      </c>
      <c r="AX134" s="351">
        <v>-185900</v>
      </c>
      <c r="AY134" s="369">
        <v>14.310839813284488</v>
      </c>
      <c r="AZ134" s="399">
        <v>0</v>
      </c>
    </row>
    <row r="135" spans="2:4" ht="12.75">
      <c r="B135" s="394" t="s">
        <v>913</v>
      </c>
      <c r="C135" s="394" t="s">
        <v>910</v>
      </c>
      <c r="D135" s="395">
        <v>9</v>
      </c>
    </row>
    <row r="136" spans="2:4" ht="12.75">
      <c r="B136" s="394" t="s">
        <v>913</v>
      </c>
      <c r="C136" s="394" t="s">
        <v>910</v>
      </c>
      <c r="D136" s="395">
        <v>9</v>
      </c>
    </row>
    <row r="137" spans="1:48" ht="12.75">
      <c r="A137" s="394">
        <v>0</v>
      </c>
      <c r="B137" s="394" t="s">
        <v>914</v>
      </c>
      <c r="C137" s="394" t="s">
        <v>911</v>
      </c>
      <c r="D137" s="395">
        <v>-2</v>
      </c>
      <c r="F137" s="391" t="s">
        <v>668</v>
      </c>
      <c r="G137" s="326" t="s">
        <v>123</v>
      </c>
      <c r="H137" s="327"/>
      <c r="I137" s="328"/>
      <c r="J137" s="326" t="s">
        <v>132</v>
      </c>
      <c r="K137" s="329"/>
      <c r="L137" s="327"/>
      <c r="M137" s="329"/>
      <c r="N137" s="387" t="s">
        <v>23</v>
      </c>
      <c r="O137" s="388"/>
      <c r="P137" s="326" t="s">
        <v>134</v>
      </c>
      <c r="Q137" s="327"/>
      <c r="R137" s="330"/>
      <c r="S137" s="326" t="s">
        <v>1704</v>
      </c>
      <c r="T137" s="327"/>
      <c r="U137" s="327"/>
      <c r="V137" s="330"/>
      <c r="AF137" s="390" t="s">
        <v>668</v>
      </c>
      <c r="AG137" s="331" t="s">
        <v>123</v>
      </c>
      <c r="AH137" s="332"/>
      <c r="AI137" s="333"/>
      <c r="AJ137" s="331" t="s">
        <v>132</v>
      </c>
      <c r="AK137" s="334"/>
      <c r="AL137" s="332"/>
      <c r="AM137" s="334"/>
      <c r="AN137" s="382" t="s">
        <v>23</v>
      </c>
      <c r="AO137" s="383"/>
      <c r="AP137" s="331" t="s">
        <v>134</v>
      </c>
      <c r="AQ137" s="332"/>
      <c r="AR137" s="335"/>
      <c r="AS137" s="331" t="s">
        <v>1704</v>
      </c>
      <c r="AT137" s="332"/>
      <c r="AU137" s="332"/>
      <c r="AV137" s="335"/>
    </row>
    <row r="138" spans="2:48" ht="12.75">
      <c r="B138" s="394" t="s">
        <v>914</v>
      </c>
      <c r="C138" s="394" t="s">
        <v>911</v>
      </c>
      <c r="D138" s="395">
        <v>-1</v>
      </c>
      <c r="F138" s="342" t="s">
        <v>669</v>
      </c>
      <c r="G138" s="337" t="s">
        <v>124</v>
      </c>
      <c r="H138" s="338" t="s">
        <v>972</v>
      </c>
      <c r="I138" s="339" t="s">
        <v>125</v>
      </c>
      <c r="J138" s="337" t="s">
        <v>124</v>
      </c>
      <c r="K138" s="340" t="s">
        <v>670</v>
      </c>
      <c r="L138" s="337" t="s">
        <v>972</v>
      </c>
      <c r="M138" s="339" t="s">
        <v>670</v>
      </c>
      <c r="N138" s="338"/>
      <c r="O138" s="339"/>
      <c r="P138" s="337" t="s">
        <v>85</v>
      </c>
      <c r="Q138" s="338"/>
      <c r="R138" s="341"/>
      <c r="S138" s="337" t="s">
        <v>124</v>
      </c>
      <c r="T138" s="339" t="s">
        <v>137</v>
      </c>
      <c r="U138" s="338" t="s">
        <v>972</v>
      </c>
      <c r="V138" s="339" t="s">
        <v>137</v>
      </c>
      <c r="AF138" s="343" t="s">
        <v>669</v>
      </c>
      <c r="AG138" s="360" t="s">
        <v>124</v>
      </c>
      <c r="AH138" s="361" t="s">
        <v>972</v>
      </c>
      <c r="AI138" s="362" t="s">
        <v>125</v>
      </c>
      <c r="AJ138" s="360" t="s">
        <v>124</v>
      </c>
      <c r="AK138" s="363" t="s">
        <v>670</v>
      </c>
      <c r="AL138" s="360" t="s">
        <v>972</v>
      </c>
      <c r="AM138" s="363" t="s">
        <v>670</v>
      </c>
      <c r="AN138" s="360"/>
      <c r="AO138" s="364"/>
      <c r="AP138" s="360" t="s">
        <v>85</v>
      </c>
      <c r="AQ138" s="361"/>
      <c r="AR138" s="364"/>
      <c r="AS138" s="344" t="s">
        <v>124</v>
      </c>
      <c r="AT138" s="345" t="s">
        <v>137</v>
      </c>
      <c r="AU138" s="344" t="s">
        <v>972</v>
      </c>
      <c r="AV138" s="348" t="s">
        <v>137</v>
      </c>
    </row>
    <row r="139" spans="1:48" ht="12.75" hidden="1" outlineLevel="1">
      <c r="A139" s="394">
        <v>1360</v>
      </c>
      <c r="B139" s="394" t="s">
        <v>616</v>
      </c>
      <c r="C139" s="394" t="s">
        <v>911</v>
      </c>
      <c r="D139" s="395">
        <v>1</v>
      </c>
      <c r="F139" s="324" t="s">
        <v>523</v>
      </c>
      <c r="G139" s="350">
        <v>822.53</v>
      </c>
      <c r="H139" s="351">
        <v>1555.14</v>
      </c>
      <c r="I139" s="352">
        <v>-47.10894196020938</v>
      </c>
      <c r="J139" s="350">
        <v>546.0300000000007</v>
      </c>
      <c r="K139" s="353">
        <v>66.3842048314348</v>
      </c>
      <c r="L139" s="350">
        <v>-2987.7700000000004</v>
      </c>
      <c r="M139" s="354">
        <v>-192.12225265892462</v>
      </c>
      <c r="N139" s="351"/>
      <c r="O139" s="352"/>
      <c r="P139" s="350">
        <v>3533.800000000001</v>
      </c>
      <c r="Q139" s="351"/>
      <c r="R139" s="354"/>
      <c r="S139" s="350">
        <v>-5</v>
      </c>
      <c r="T139" s="352">
        <v>-0.6078805636268586</v>
      </c>
      <c r="U139" s="351">
        <v>-318.86</v>
      </c>
      <c r="V139" s="352">
        <v>-20.50362025283897</v>
      </c>
      <c r="AF139" s="324" t="s">
        <v>523</v>
      </c>
      <c r="AG139" s="355">
        <v>22552.36</v>
      </c>
      <c r="AH139" s="351">
        <v>27192.08</v>
      </c>
      <c r="AI139" s="356">
        <v>-17.06276239257902</v>
      </c>
      <c r="AJ139" s="355">
        <v>34067.21999999997</v>
      </c>
      <c r="AK139" s="353">
        <v>151.0583371319009</v>
      </c>
      <c r="AL139" s="355">
        <v>24487</v>
      </c>
      <c r="AM139" s="353">
        <v>90.05195630492408</v>
      </c>
      <c r="AN139" s="355"/>
      <c r="AO139" s="357"/>
      <c r="AP139" s="355">
        <v>9580.219999999972</v>
      </c>
      <c r="AQ139" s="351"/>
      <c r="AR139" s="357"/>
      <c r="AS139" s="355">
        <v>-170.47</v>
      </c>
      <c r="AT139" s="353">
        <v>-0.7558854150962471</v>
      </c>
      <c r="AU139" s="355">
        <v>-503</v>
      </c>
      <c r="AV139" s="356">
        <v>-1.8498033250858337</v>
      </c>
    </row>
    <row r="140" spans="1:48" ht="12.75" hidden="1" outlineLevel="1">
      <c r="A140" s="394">
        <v>1370</v>
      </c>
      <c r="B140" s="394" t="s">
        <v>616</v>
      </c>
      <c r="C140" s="394" t="s">
        <v>911</v>
      </c>
      <c r="D140" s="395">
        <v>1</v>
      </c>
      <c r="F140" s="324" t="s">
        <v>524</v>
      </c>
      <c r="G140" s="350">
        <v>39796.95</v>
      </c>
      <c r="H140" s="351">
        <v>42712.31</v>
      </c>
      <c r="I140" s="352">
        <v>-6.8255732363808015</v>
      </c>
      <c r="J140" s="350">
        <v>24883.850000000093</v>
      </c>
      <c r="K140" s="353">
        <v>62.52702782499688</v>
      </c>
      <c r="L140" s="350">
        <v>9132.719999999972</v>
      </c>
      <c r="M140" s="354">
        <v>21.381938836836436</v>
      </c>
      <c r="N140" s="351"/>
      <c r="O140" s="352"/>
      <c r="P140" s="350">
        <v>15751.130000000121</v>
      </c>
      <c r="Q140" s="351"/>
      <c r="R140" s="354"/>
      <c r="S140" s="350">
        <v>-408</v>
      </c>
      <c r="T140" s="352">
        <v>-1.025204192783618</v>
      </c>
      <c r="U140" s="351">
        <v>-236</v>
      </c>
      <c r="V140" s="352">
        <v>-0.552533918207655</v>
      </c>
      <c r="AF140" s="324" t="s">
        <v>524</v>
      </c>
      <c r="AG140" s="355">
        <v>556179.42</v>
      </c>
      <c r="AH140" s="351">
        <v>686626.36</v>
      </c>
      <c r="AI140" s="356">
        <v>-18.998242362847815</v>
      </c>
      <c r="AJ140" s="355">
        <v>349928.8699999992</v>
      </c>
      <c r="AK140" s="353">
        <v>62.91654408931549</v>
      </c>
      <c r="AL140" s="355">
        <v>504532.3499999996</v>
      </c>
      <c r="AM140" s="353">
        <v>73.47989815013797</v>
      </c>
      <c r="AN140" s="355"/>
      <c r="AO140" s="357"/>
      <c r="AP140" s="355">
        <v>-154603.48000000045</v>
      </c>
      <c r="AQ140" s="351"/>
      <c r="AR140" s="357"/>
      <c r="AS140" s="355">
        <v>-3216.21</v>
      </c>
      <c r="AT140" s="353">
        <v>-0.5782684299969243</v>
      </c>
      <c r="AU140" s="355">
        <v>-2890.53</v>
      </c>
      <c r="AV140" s="356">
        <v>-0.42097568173759015</v>
      </c>
    </row>
    <row r="141" spans="1:48" ht="12.75" hidden="1" outlineLevel="1">
      <c r="A141" s="394">
        <v>1490</v>
      </c>
      <c r="B141" s="394" t="s">
        <v>616</v>
      </c>
      <c r="C141" s="394" t="s">
        <v>911</v>
      </c>
      <c r="D141" s="395">
        <v>1</v>
      </c>
      <c r="F141" s="324" t="s">
        <v>525</v>
      </c>
      <c r="G141" s="350">
        <v>56066.21</v>
      </c>
      <c r="H141" s="351">
        <v>54641.54</v>
      </c>
      <c r="I141" s="352">
        <v>2.6073020635948367</v>
      </c>
      <c r="J141" s="350">
        <v>45897.69999999995</v>
      </c>
      <c r="K141" s="353">
        <v>81.8633897315334</v>
      </c>
      <c r="L141" s="350">
        <v>22597.769999999902</v>
      </c>
      <c r="M141" s="354">
        <v>41.356392956713705</v>
      </c>
      <c r="N141" s="351"/>
      <c r="O141" s="352"/>
      <c r="P141" s="350">
        <v>23299.93000000005</v>
      </c>
      <c r="Q141" s="351"/>
      <c r="R141" s="354"/>
      <c r="S141" s="350">
        <v>-70</v>
      </c>
      <c r="T141" s="352">
        <v>-0.12485238435057408</v>
      </c>
      <c r="U141" s="351">
        <v>-125</v>
      </c>
      <c r="V141" s="352">
        <v>-0.22876368418606063</v>
      </c>
      <c r="AF141" s="324" t="s">
        <v>525</v>
      </c>
      <c r="AG141" s="355">
        <v>642914.28</v>
      </c>
      <c r="AH141" s="351">
        <v>743468.07</v>
      </c>
      <c r="AI141" s="356">
        <v>-13.52496415885082</v>
      </c>
      <c r="AJ141" s="355">
        <v>525690.6500000004</v>
      </c>
      <c r="AK141" s="353">
        <v>81.76683367493413</v>
      </c>
      <c r="AL141" s="355">
        <v>574428.5999999996</v>
      </c>
      <c r="AM141" s="353">
        <v>77.26338536636814</v>
      </c>
      <c r="AN141" s="355"/>
      <c r="AO141" s="357"/>
      <c r="AP141" s="355">
        <v>-48737.949999999255</v>
      </c>
      <c r="AQ141" s="351"/>
      <c r="AR141" s="357"/>
      <c r="AS141" s="355">
        <v>359.36</v>
      </c>
      <c r="AT141" s="353">
        <v>0.05589547645449717</v>
      </c>
      <c r="AU141" s="355">
        <v>-1236.62</v>
      </c>
      <c r="AV141" s="356">
        <v>-0.16633128575380512</v>
      </c>
    </row>
    <row r="142" spans="1:48" ht="12.75" hidden="1" outlineLevel="1">
      <c r="A142" s="394">
        <v>1491</v>
      </c>
      <c r="B142" s="394" t="s">
        <v>616</v>
      </c>
      <c r="C142" s="394" t="s">
        <v>911</v>
      </c>
      <c r="D142" s="395">
        <v>1</v>
      </c>
      <c r="F142" s="324" t="s">
        <v>526</v>
      </c>
      <c r="G142" s="350">
        <v>2638.23</v>
      </c>
      <c r="H142" s="351">
        <v>2138.84</v>
      </c>
      <c r="I142" s="352">
        <v>23.348637579248557</v>
      </c>
      <c r="J142" s="350">
        <v>-14398.07</v>
      </c>
      <c r="K142" s="353">
        <v>-545.7473381774902</v>
      </c>
      <c r="L142" s="350">
        <v>-2533.3600000000006</v>
      </c>
      <c r="M142" s="354">
        <v>-118.44551252080569</v>
      </c>
      <c r="N142" s="351"/>
      <c r="O142" s="352"/>
      <c r="P142" s="350">
        <v>-11864.71</v>
      </c>
      <c r="Q142" s="351"/>
      <c r="R142" s="354"/>
      <c r="S142" s="350">
        <v>-2</v>
      </c>
      <c r="T142" s="352">
        <v>-0.0758084018451765</v>
      </c>
      <c r="U142" s="351">
        <v>-39.16</v>
      </c>
      <c r="V142" s="352">
        <v>-1.8308989919769592</v>
      </c>
      <c r="AF142" s="324" t="s">
        <v>526</v>
      </c>
      <c r="AG142" s="355">
        <v>27560.05</v>
      </c>
      <c r="AH142" s="351">
        <v>33692.67</v>
      </c>
      <c r="AI142" s="356">
        <v>-18.201644452636135</v>
      </c>
      <c r="AJ142" s="355">
        <v>26408.669999999984</v>
      </c>
      <c r="AK142" s="353">
        <v>95.82228624403795</v>
      </c>
      <c r="AL142" s="355">
        <v>39222.110000000044</v>
      </c>
      <c r="AM142" s="353">
        <v>116.41140342988564</v>
      </c>
      <c r="AN142" s="355"/>
      <c r="AO142" s="357"/>
      <c r="AP142" s="355">
        <v>-12813.44000000006</v>
      </c>
      <c r="AQ142" s="351"/>
      <c r="AR142" s="357"/>
      <c r="AS142" s="355">
        <v>-18.31</v>
      </c>
      <c r="AT142" s="353">
        <v>-0.06643674449066674</v>
      </c>
      <c r="AU142" s="355">
        <v>61.32</v>
      </c>
      <c r="AV142" s="356">
        <v>0.1819980428977579</v>
      </c>
    </row>
    <row r="143" spans="1:48" ht="12.75" hidden="1" outlineLevel="1">
      <c r="A143" s="394">
        <v>1500</v>
      </c>
      <c r="B143" s="394" t="s">
        <v>616</v>
      </c>
      <c r="C143" s="394" t="s">
        <v>911</v>
      </c>
      <c r="D143" s="395">
        <v>1</v>
      </c>
      <c r="F143" s="324" t="s">
        <v>527</v>
      </c>
      <c r="G143" s="350">
        <v>10913.16</v>
      </c>
      <c r="H143" s="351">
        <v>11616.8</v>
      </c>
      <c r="I143" s="352">
        <v>-6.057089732112109</v>
      </c>
      <c r="J143" s="350">
        <v>-321.11999999999534</v>
      </c>
      <c r="K143" s="353">
        <v>-2.94250244658738</v>
      </c>
      <c r="L143" s="350">
        <v>2294.0999999999935</v>
      </c>
      <c r="M143" s="354">
        <v>19.74812340747877</v>
      </c>
      <c r="N143" s="351"/>
      <c r="O143" s="352"/>
      <c r="P143" s="350">
        <v>-2615.219999999989</v>
      </c>
      <c r="Q143" s="351"/>
      <c r="R143" s="354"/>
      <c r="S143" s="350">
        <v>-92</v>
      </c>
      <c r="T143" s="352">
        <v>-0.8430188872883748</v>
      </c>
      <c r="U143" s="351">
        <v>-291</v>
      </c>
      <c r="V143" s="352">
        <v>-2.504992769093038</v>
      </c>
      <c r="AF143" s="324" t="s">
        <v>527</v>
      </c>
      <c r="AG143" s="355">
        <v>283762.94</v>
      </c>
      <c r="AH143" s="351">
        <v>395613.87</v>
      </c>
      <c r="AI143" s="356">
        <v>-28.272752418917968</v>
      </c>
      <c r="AJ143" s="355">
        <v>218363.94999999972</v>
      </c>
      <c r="AK143" s="353">
        <v>76.95294882411343</v>
      </c>
      <c r="AL143" s="355">
        <v>188659.31999999977</v>
      </c>
      <c r="AM143" s="353">
        <v>47.687741584995436</v>
      </c>
      <c r="AN143" s="355"/>
      <c r="AO143" s="357"/>
      <c r="AP143" s="355">
        <v>29704.629999999946</v>
      </c>
      <c r="AQ143" s="351"/>
      <c r="AR143" s="357"/>
      <c r="AS143" s="355">
        <v>-2260.71</v>
      </c>
      <c r="AT143" s="353">
        <v>-0.7966896593332449</v>
      </c>
      <c r="AU143" s="355">
        <v>-3221.25</v>
      </c>
      <c r="AV143" s="356">
        <v>-0.814240916275256</v>
      </c>
    </row>
    <row r="144" spans="1:48" ht="12.75" collapsed="1">
      <c r="A144" s="394">
        <v>10</v>
      </c>
      <c r="B144" s="394" t="s">
        <v>617</v>
      </c>
      <c r="C144" s="394" t="s">
        <v>911</v>
      </c>
      <c r="D144" s="395">
        <v>4</v>
      </c>
      <c r="F144" s="324" t="s">
        <v>671</v>
      </c>
      <c r="G144" s="350">
        <v>110237.08</v>
      </c>
      <c r="H144" s="351">
        <v>112664.62999999999</v>
      </c>
      <c r="I144" s="352">
        <v>-2.1546691273028533</v>
      </c>
      <c r="J144" s="350">
        <v>56608.389999999985</v>
      </c>
      <c r="K144" s="353">
        <v>51.351496247904954</v>
      </c>
      <c r="L144" s="350">
        <v>28503.459999999763</v>
      </c>
      <c r="M144" s="354">
        <v>25.299386329143196</v>
      </c>
      <c r="N144" s="351"/>
      <c r="O144" s="352"/>
      <c r="P144" s="350">
        <v>28104.930000000222</v>
      </c>
      <c r="Q144" s="351"/>
      <c r="R144" s="354"/>
      <c r="S144" s="350">
        <v>-577</v>
      </c>
      <c r="T144" s="352">
        <v>-0.5234173474115968</v>
      </c>
      <c r="U144" s="351">
        <v>-1010.02</v>
      </c>
      <c r="V144" s="352">
        <v>-0.8964836612874867</v>
      </c>
      <c r="AF144" s="324" t="s">
        <v>671</v>
      </c>
      <c r="AG144" s="355">
        <v>1532969.05</v>
      </c>
      <c r="AH144" s="351">
        <v>1886593.0499999998</v>
      </c>
      <c r="AI144" s="356">
        <v>-18.744052937118568</v>
      </c>
      <c r="AJ144" s="355">
        <v>1154459.3600000017</v>
      </c>
      <c r="AK144" s="353">
        <v>75.30871937695035</v>
      </c>
      <c r="AL144" s="355">
        <v>1331329.379999998</v>
      </c>
      <c r="AM144" s="353">
        <v>70.56791500424525</v>
      </c>
      <c r="AN144" s="355"/>
      <c r="AO144" s="357"/>
      <c r="AP144" s="355">
        <v>-176870.0199999963</v>
      </c>
      <c r="AQ144" s="351"/>
      <c r="AR144" s="357"/>
      <c r="AS144" s="355">
        <v>-5306.34</v>
      </c>
      <c r="AT144" s="353">
        <v>-0.34614788863480317</v>
      </c>
      <c r="AU144" s="355">
        <v>-7790.08</v>
      </c>
      <c r="AV144" s="356">
        <v>-0.41291787860662377</v>
      </c>
    </row>
    <row r="145" spans="2:22" ht="12.75">
      <c r="B145" s="394" t="s">
        <v>913</v>
      </c>
      <c r="C145" s="394" t="s">
        <v>911</v>
      </c>
      <c r="D145" s="395">
        <v>9</v>
      </c>
      <c r="U145" s="359"/>
      <c r="V145" s="358"/>
    </row>
    <row r="146" spans="2:22" ht="12.75">
      <c r="B146" s="394" t="s">
        <v>913</v>
      </c>
      <c r="C146" s="394" t="s">
        <v>911</v>
      </c>
      <c r="D146" s="395">
        <v>9</v>
      </c>
      <c r="U146" s="359"/>
      <c r="V146" s="358"/>
    </row>
    <row r="147" spans="2:35" ht="12.75">
      <c r="B147" s="394" t="s">
        <v>914</v>
      </c>
      <c r="C147" s="394" t="s">
        <v>912</v>
      </c>
      <c r="D147" s="395">
        <v>-2</v>
      </c>
      <c r="F147" s="391" t="s">
        <v>909</v>
      </c>
      <c r="G147" s="326"/>
      <c r="H147" s="327"/>
      <c r="I147" s="328"/>
      <c r="AF147" s="390" t="s">
        <v>909</v>
      </c>
      <c r="AG147" s="331"/>
      <c r="AH147" s="332"/>
      <c r="AI147" s="333"/>
    </row>
    <row r="148" spans="1:52" s="358" customFormat="1" ht="12.75">
      <c r="A148" s="394"/>
      <c r="B148" s="394" t="s">
        <v>914</v>
      </c>
      <c r="C148" s="394" t="s">
        <v>912</v>
      </c>
      <c r="D148" s="395">
        <v>-1</v>
      </c>
      <c r="E148" s="325"/>
      <c r="F148" s="336" t="s">
        <v>38</v>
      </c>
      <c r="G148" s="337" t="s">
        <v>124</v>
      </c>
      <c r="H148" s="338" t="s">
        <v>972</v>
      </c>
      <c r="I148" s="339" t="s">
        <v>39</v>
      </c>
      <c r="K148" s="359"/>
      <c r="M148" s="359"/>
      <c r="O148" s="359"/>
      <c r="T148" s="359"/>
      <c r="V148" s="359"/>
      <c r="Y148" s="370"/>
      <c r="Z148" s="374"/>
      <c r="AF148" s="343" t="s">
        <v>38</v>
      </c>
      <c r="AG148" s="344" t="s">
        <v>124</v>
      </c>
      <c r="AH148" s="345" t="s">
        <v>972</v>
      </c>
      <c r="AI148" s="346" t="s">
        <v>39</v>
      </c>
      <c r="AK148" s="359"/>
      <c r="AM148" s="359"/>
      <c r="AO148" s="359"/>
      <c r="AT148" s="359"/>
      <c r="AV148" s="359"/>
      <c r="AY148" s="370"/>
      <c r="AZ148" s="374"/>
    </row>
    <row r="149" spans="1:52" s="358" customFormat="1" ht="12.75" hidden="1" outlineLevel="1">
      <c r="A149" s="394">
        <v>300</v>
      </c>
      <c r="B149" s="394">
        <v>300</v>
      </c>
      <c r="C149" s="394" t="s">
        <v>912</v>
      </c>
      <c r="D149" s="395">
        <v>1</v>
      </c>
      <c r="E149" s="325"/>
      <c r="F149" s="324" t="s">
        <v>562</v>
      </c>
      <c r="G149" s="350">
        <v>8420.55</v>
      </c>
      <c r="H149" s="351">
        <v>8722.8</v>
      </c>
      <c r="I149" s="354">
        <v>-302.25</v>
      </c>
      <c r="K149" s="359"/>
      <c r="M149" s="359"/>
      <c r="O149" s="359"/>
      <c r="T149" s="359"/>
      <c r="V149" s="359"/>
      <c r="Y149" s="370"/>
      <c r="Z149" s="374"/>
      <c r="AF149" s="324" t="s">
        <v>562</v>
      </c>
      <c r="AG149" s="355">
        <v>107434.14</v>
      </c>
      <c r="AH149" s="351">
        <v>114149.44</v>
      </c>
      <c r="AI149" s="357">
        <v>-6715.300000000003</v>
      </c>
      <c r="AK149" s="359"/>
      <c r="AM149" s="359"/>
      <c r="AO149" s="359"/>
      <c r="AT149" s="359"/>
      <c r="AV149" s="359"/>
      <c r="AY149" s="370"/>
      <c r="AZ149" s="374"/>
    </row>
    <row r="150" spans="1:52" s="358" customFormat="1" ht="12.75" hidden="1" outlineLevel="1">
      <c r="A150" s="394">
        <v>310</v>
      </c>
      <c r="B150" s="394">
        <v>310</v>
      </c>
      <c r="C150" s="394" t="s">
        <v>912</v>
      </c>
      <c r="D150" s="395">
        <v>1</v>
      </c>
      <c r="E150" s="325"/>
      <c r="F150" s="324" t="s">
        <v>1680</v>
      </c>
      <c r="G150" s="350">
        <v>-2413533.939999999</v>
      </c>
      <c r="H150" s="351">
        <v>-2279981.6100000003</v>
      </c>
      <c r="I150" s="354">
        <v>-133552.32999999868</v>
      </c>
      <c r="K150" s="359"/>
      <c r="M150" s="359"/>
      <c r="O150" s="359"/>
      <c r="T150" s="359"/>
      <c r="V150" s="359"/>
      <c r="Y150" s="370"/>
      <c r="Z150" s="374"/>
      <c r="AF150" s="324" t="s">
        <v>1680</v>
      </c>
      <c r="AG150" s="355">
        <v>-34469886.71999999</v>
      </c>
      <c r="AH150" s="351">
        <v>-33911791.14</v>
      </c>
      <c r="AI150" s="357">
        <v>-558095.5799999908</v>
      </c>
      <c r="AK150" s="359"/>
      <c r="AM150" s="359"/>
      <c r="AO150" s="359"/>
      <c r="AT150" s="359"/>
      <c r="AV150" s="359"/>
      <c r="AY150" s="370"/>
      <c r="AZ150" s="374"/>
    </row>
    <row r="151" spans="1:52" s="358" customFormat="1" ht="12.75" hidden="1" outlineLevel="1">
      <c r="A151" s="394">
        <v>400</v>
      </c>
      <c r="B151" s="394">
        <v>400</v>
      </c>
      <c r="C151" s="394" t="s">
        <v>912</v>
      </c>
      <c r="D151" s="395">
        <v>1</v>
      </c>
      <c r="E151" s="325"/>
      <c r="F151" s="324" t="s">
        <v>563</v>
      </c>
      <c r="G151" s="350">
        <v>-943.6100000000007</v>
      </c>
      <c r="H151" s="351">
        <v>4071.41</v>
      </c>
      <c r="I151" s="354">
        <v>-5015.02</v>
      </c>
      <c r="K151" s="359"/>
      <c r="M151" s="359"/>
      <c r="O151" s="359"/>
      <c r="T151" s="359"/>
      <c r="V151" s="359"/>
      <c r="Y151" s="370"/>
      <c r="Z151" s="374"/>
      <c r="AF151" s="324" t="s">
        <v>563</v>
      </c>
      <c r="AG151" s="355">
        <v>279626.45000000007</v>
      </c>
      <c r="AH151" s="351">
        <v>72970.12000000001</v>
      </c>
      <c r="AI151" s="357">
        <v>206656.33000000007</v>
      </c>
      <c r="AK151" s="359"/>
      <c r="AM151" s="359"/>
      <c r="AO151" s="359"/>
      <c r="AT151" s="359"/>
      <c r="AV151" s="359"/>
      <c r="AY151" s="370"/>
      <c r="AZ151" s="374"/>
    </row>
    <row r="152" spans="1:52" s="358" customFormat="1" ht="12.75" hidden="1" outlineLevel="1">
      <c r="A152" s="394">
        <v>410</v>
      </c>
      <c r="B152" s="394">
        <v>410</v>
      </c>
      <c r="C152" s="394" t="s">
        <v>912</v>
      </c>
      <c r="D152" s="395">
        <v>1</v>
      </c>
      <c r="E152" s="325"/>
      <c r="F152" s="324" t="s">
        <v>1682</v>
      </c>
      <c r="G152" s="350">
        <v>2001025.6600000004</v>
      </c>
      <c r="H152" s="351">
        <v>1836964.1800000006</v>
      </c>
      <c r="I152" s="354">
        <v>164061.47999999975</v>
      </c>
      <c r="K152" s="359"/>
      <c r="M152" s="359"/>
      <c r="O152" s="359"/>
      <c r="T152" s="359"/>
      <c r="V152" s="359"/>
      <c r="Y152" s="370"/>
      <c r="Z152" s="374"/>
      <c r="AF152" s="324" t="s">
        <v>1682</v>
      </c>
      <c r="AG152" s="355">
        <v>28272688.669999987</v>
      </c>
      <c r="AH152" s="351">
        <v>26802567.61</v>
      </c>
      <c r="AI152" s="357">
        <v>1470121.0599999875</v>
      </c>
      <c r="AK152" s="359"/>
      <c r="AM152" s="359"/>
      <c r="AO152" s="359"/>
      <c r="AT152" s="359"/>
      <c r="AV152" s="359"/>
      <c r="AY152" s="370"/>
      <c r="AZ152" s="374"/>
    </row>
    <row r="153" spans="1:52" s="358" customFormat="1" ht="12.75" hidden="1" outlineLevel="1">
      <c r="A153" s="394">
        <v>460</v>
      </c>
      <c r="B153" s="394">
        <v>460</v>
      </c>
      <c r="C153" s="394" t="s">
        <v>912</v>
      </c>
      <c r="D153" s="395">
        <v>1</v>
      </c>
      <c r="E153" s="325"/>
      <c r="F153" s="324" t="s">
        <v>564</v>
      </c>
      <c r="G153" s="350">
        <v>12546.169999999998</v>
      </c>
      <c r="H153" s="351">
        <v>11718.12</v>
      </c>
      <c r="I153" s="354">
        <v>828.0499999999975</v>
      </c>
      <c r="K153" s="359"/>
      <c r="M153" s="359"/>
      <c r="O153" s="359"/>
      <c r="T153" s="359"/>
      <c r="V153" s="359"/>
      <c r="Y153" s="370"/>
      <c r="Z153" s="374"/>
      <c r="AF153" s="324" t="s">
        <v>564</v>
      </c>
      <c r="AG153" s="355">
        <v>87783.04000000001</v>
      </c>
      <c r="AH153" s="351">
        <v>132201.47</v>
      </c>
      <c r="AI153" s="357">
        <v>-44418.42999999999</v>
      </c>
      <c r="AK153" s="359"/>
      <c r="AM153" s="359"/>
      <c r="AO153" s="359"/>
      <c r="AT153" s="359"/>
      <c r="AV153" s="359"/>
      <c r="AY153" s="370"/>
      <c r="AZ153" s="374"/>
    </row>
    <row r="154" spans="1:52" s="358" customFormat="1" ht="12.75" collapsed="1">
      <c r="A154" s="394">
        <v>300</v>
      </c>
      <c r="B154" s="394">
        <v>499</v>
      </c>
      <c r="C154" s="394" t="s">
        <v>912</v>
      </c>
      <c r="D154" s="395">
        <v>3</v>
      </c>
      <c r="E154" s="325"/>
      <c r="F154" s="324" t="s">
        <v>132</v>
      </c>
      <c r="G154" s="350">
        <v>409326.2699999988</v>
      </c>
      <c r="H154" s="351">
        <v>435950.69999999995</v>
      </c>
      <c r="I154" s="354">
        <v>-26624.430000001157</v>
      </c>
      <c r="K154" s="359"/>
      <c r="M154" s="359"/>
      <c r="O154" s="359"/>
      <c r="T154" s="359"/>
      <c r="V154" s="359"/>
      <c r="Y154" s="370"/>
      <c r="Z154" s="374"/>
      <c r="AF154" s="324" t="s">
        <v>132</v>
      </c>
      <c r="AG154" s="355">
        <v>5937222.699999984</v>
      </c>
      <c r="AH154" s="351">
        <v>7018201.379999998</v>
      </c>
      <c r="AI154" s="357">
        <v>-1080978.6800000137</v>
      </c>
      <c r="AK154" s="359"/>
      <c r="AM154" s="359"/>
      <c r="AO154" s="359"/>
      <c r="AT154" s="359"/>
      <c r="AV154" s="359"/>
      <c r="AY154" s="370"/>
      <c r="AZ154" s="374"/>
    </row>
    <row r="155" spans="1:52" s="358" customFormat="1" ht="12.75" hidden="1" outlineLevel="1">
      <c r="A155" s="394">
        <v>501</v>
      </c>
      <c r="B155" s="394">
        <v>501</v>
      </c>
      <c r="C155" s="394" t="s">
        <v>912</v>
      </c>
      <c r="D155" s="395">
        <v>1</v>
      </c>
      <c r="E155" s="325"/>
      <c r="F155" s="324" t="s">
        <v>554</v>
      </c>
      <c r="G155" s="350">
        <v>229169</v>
      </c>
      <c r="H155" s="351">
        <v>210190.5</v>
      </c>
      <c r="I155" s="354">
        <v>18978.5</v>
      </c>
      <c r="K155" s="359"/>
      <c r="M155" s="359"/>
      <c r="O155" s="359"/>
      <c r="T155" s="359"/>
      <c r="V155" s="359"/>
      <c r="Y155" s="370"/>
      <c r="Z155" s="374"/>
      <c r="AF155" s="324" t="s">
        <v>554</v>
      </c>
      <c r="AG155" s="355">
        <v>2500202.79</v>
      </c>
      <c r="AH155" s="351">
        <v>2709483.13</v>
      </c>
      <c r="AI155" s="357">
        <v>-209280.33999999985</v>
      </c>
      <c r="AK155" s="359"/>
      <c r="AM155" s="359"/>
      <c r="AO155" s="359"/>
      <c r="AT155" s="359"/>
      <c r="AV155" s="359"/>
      <c r="AY155" s="370"/>
      <c r="AZ155" s="374"/>
    </row>
    <row r="156" spans="1:52" s="358" customFormat="1" ht="12.75" hidden="1" outlineLevel="1">
      <c r="A156" s="394">
        <v>508</v>
      </c>
      <c r="B156" s="394">
        <v>508</v>
      </c>
      <c r="C156" s="394" t="s">
        <v>912</v>
      </c>
      <c r="D156" s="395">
        <v>1</v>
      </c>
      <c r="E156" s="325"/>
      <c r="F156" s="324" t="s">
        <v>555</v>
      </c>
      <c r="G156" s="350">
        <v>27500.28</v>
      </c>
      <c r="H156" s="351">
        <v>25222.86</v>
      </c>
      <c r="I156" s="354">
        <v>2277.4199999999983</v>
      </c>
      <c r="K156" s="359"/>
      <c r="M156" s="359"/>
      <c r="O156" s="359"/>
      <c r="T156" s="359"/>
      <c r="V156" s="359"/>
      <c r="Y156" s="370"/>
      <c r="Z156" s="374"/>
      <c r="AF156" s="324" t="s">
        <v>555</v>
      </c>
      <c r="AG156" s="355">
        <v>300024.33</v>
      </c>
      <c r="AH156" s="351">
        <v>325137.99</v>
      </c>
      <c r="AI156" s="357">
        <v>-25113.659999999974</v>
      </c>
      <c r="AK156" s="359"/>
      <c r="AM156" s="359"/>
      <c r="AO156" s="359"/>
      <c r="AT156" s="359"/>
      <c r="AV156" s="359"/>
      <c r="AY156" s="370"/>
      <c r="AZ156" s="374"/>
    </row>
    <row r="157" spans="1:52" s="358" customFormat="1" ht="12.75" hidden="1" outlineLevel="1">
      <c r="A157" s="394">
        <v>540</v>
      </c>
      <c r="B157" s="394">
        <v>540</v>
      </c>
      <c r="C157" s="394" t="s">
        <v>912</v>
      </c>
      <c r="D157" s="395">
        <v>1</v>
      </c>
      <c r="E157" s="325"/>
      <c r="F157" s="324" t="s">
        <v>556</v>
      </c>
      <c r="G157" s="350">
        <v>32832.56</v>
      </c>
      <c r="H157" s="351">
        <v>30040.12</v>
      </c>
      <c r="I157" s="354">
        <v>2792.4399999999987</v>
      </c>
      <c r="K157" s="359"/>
      <c r="M157" s="359"/>
      <c r="O157" s="359"/>
      <c r="T157" s="359"/>
      <c r="V157" s="359"/>
      <c r="Y157" s="370"/>
      <c r="Z157" s="374"/>
      <c r="AF157" s="324" t="s">
        <v>556</v>
      </c>
      <c r="AG157" s="355">
        <v>358673.1</v>
      </c>
      <c r="AH157" s="351">
        <v>387472.28</v>
      </c>
      <c r="AI157" s="357">
        <v>-28799.18000000005</v>
      </c>
      <c r="AK157" s="359"/>
      <c r="AM157" s="359"/>
      <c r="AO157" s="359"/>
      <c r="AT157" s="359"/>
      <c r="AV157" s="359"/>
      <c r="AY157" s="370"/>
      <c r="AZ157" s="374"/>
    </row>
    <row r="158" spans="1:52" s="358" customFormat="1" ht="12.75" hidden="1" outlineLevel="1">
      <c r="A158" s="394">
        <v>541</v>
      </c>
      <c r="B158" s="394">
        <v>541</v>
      </c>
      <c r="C158" s="394" t="s">
        <v>912</v>
      </c>
      <c r="D158" s="395">
        <v>1</v>
      </c>
      <c r="E158" s="325"/>
      <c r="F158" s="324" t="s">
        <v>557</v>
      </c>
      <c r="G158" s="350">
        <v>3877.55</v>
      </c>
      <c r="H158" s="351">
        <v>3556.42</v>
      </c>
      <c r="I158" s="354">
        <v>321.1300000000001</v>
      </c>
      <c r="K158" s="359"/>
      <c r="M158" s="359"/>
      <c r="O158" s="359"/>
      <c r="T158" s="359"/>
      <c r="V158" s="359"/>
      <c r="Y158" s="370"/>
      <c r="Z158" s="374"/>
      <c r="AF158" s="324" t="s">
        <v>557</v>
      </c>
      <c r="AG158" s="355">
        <v>42303.42</v>
      </c>
      <c r="AH158" s="351">
        <v>45844.34</v>
      </c>
      <c r="AI158" s="357">
        <v>-3540.9199999999983</v>
      </c>
      <c r="AK158" s="359"/>
      <c r="AM158" s="359"/>
      <c r="AO158" s="359"/>
      <c r="AT158" s="359"/>
      <c r="AV158" s="359"/>
      <c r="AY158" s="370"/>
      <c r="AZ158" s="374"/>
    </row>
    <row r="159" spans="1:52" s="358" customFormat="1" ht="12.75" hidden="1" outlineLevel="1">
      <c r="A159" s="394">
        <v>590</v>
      </c>
      <c r="B159" s="394">
        <v>590</v>
      </c>
      <c r="C159" s="394" t="s">
        <v>912</v>
      </c>
      <c r="D159" s="395">
        <v>1</v>
      </c>
      <c r="E159" s="325"/>
      <c r="F159" s="324" t="s">
        <v>558</v>
      </c>
      <c r="G159" s="350">
        <v>26057.9</v>
      </c>
      <c r="H159" s="351">
        <v>44805</v>
      </c>
      <c r="I159" s="354">
        <v>-18747.1</v>
      </c>
      <c r="K159" s="359"/>
      <c r="M159" s="359"/>
      <c r="O159" s="359"/>
      <c r="T159" s="359"/>
      <c r="V159" s="359"/>
      <c r="Y159" s="370"/>
      <c r="Z159" s="374"/>
      <c r="AF159" s="324" t="s">
        <v>558</v>
      </c>
      <c r="AG159" s="355">
        <v>77773.7</v>
      </c>
      <c r="AH159" s="351">
        <v>122464.06</v>
      </c>
      <c r="AI159" s="357">
        <v>-44690.36</v>
      </c>
      <c r="AK159" s="359"/>
      <c r="AM159" s="359"/>
      <c r="AO159" s="359"/>
      <c r="AT159" s="359"/>
      <c r="AV159" s="359"/>
      <c r="AY159" s="370"/>
      <c r="AZ159" s="374"/>
    </row>
    <row r="160" spans="1:52" s="358" customFormat="1" ht="12.75" collapsed="1">
      <c r="A160" s="394">
        <v>500</v>
      </c>
      <c r="B160" s="394">
        <v>599</v>
      </c>
      <c r="C160" s="394" t="s">
        <v>912</v>
      </c>
      <c r="D160" s="395">
        <v>2</v>
      </c>
      <c r="E160" s="325"/>
      <c r="F160" s="324" t="s">
        <v>553</v>
      </c>
      <c r="G160" s="350">
        <v>319437.29</v>
      </c>
      <c r="H160" s="351">
        <v>313814.89999999997</v>
      </c>
      <c r="I160" s="354">
        <v>5622.390000000014</v>
      </c>
      <c r="K160" s="359"/>
      <c r="M160" s="359"/>
      <c r="O160" s="359"/>
      <c r="T160" s="359"/>
      <c r="V160" s="359"/>
      <c r="Y160" s="370"/>
      <c r="Z160" s="374"/>
      <c r="AF160" s="324" t="s">
        <v>553</v>
      </c>
      <c r="AG160" s="355">
        <v>3278977.34</v>
      </c>
      <c r="AH160" s="351">
        <v>3590401.8000000003</v>
      </c>
      <c r="AI160" s="357">
        <v>-311424.4600000004</v>
      </c>
      <c r="AK160" s="359"/>
      <c r="AM160" s="359"/>
      <c r="AO160" s="359"/>
      <c r="AT160" s="359"/>
      <c r="AV160" s="359"/>
      <c r="AY160" s="370"/>
      <c r="AZ160" s="374"/>
    </row>
    <row r="161" spans="1:52" s="358" customFormat="1" ht="12.75" outlineLevel="1">
      <c r="A161" s="394">
        <v>621</v>
      </c>
      <c r="B161" s="394">
        <v>621</v>
      </c>
      <c r="C161" s="394" t="s">
        <v>912</v>
      </c>
      <c r="D161" s="395">
        <v>1</v>
      </c>
      <c r="E161" s="325"/>
      <c r="F161" s="324" t="s">
        <v>1685</v>
      </c>
      <c r="G161" s="350">
        <v>55600</v>
      </c>
      <c r="H161" s="351">
        <v>52825</v>
      </c>
      <c r="I161" s="354">
        <v>2775</v>
      </c>
      <c r="K161" s="359"/>
      <c r="M161" s="359"/>
      <c r="O161" s="359"/>
      <c r="T161" s="359"/>
      <c r="V161" s="359"/>
      <c r="Y161" s="370"/>
      <c r="Z161" s="374"/>
      <c r="AF161" s="324" t="s">
        <v>1685</v>
      </c>
      <c r="AG161" s="355">
        <v>667200</v>
      </c>
      <c r="AH161" s="351">
        <v>633900</v>
      </c>
      <c r="AI161" s="357">
        <v>33300</v>
      </c>
      <c r="AK161" s="359"/>
      <c r="AM161" s="359"/>
      <c r="AO161" s="359"/>
      <c r="AT161" s="359"/>
      <c r="AV161" s="359"/>
      <c r="AY161" s="370"/>
      <c r="AZ161" s="374"/>
    </row>
    <row r="162" spans="1:52" s="358" customFormat="1" ht="12.75" outlineLevel="1">
      <c r="A162" s="394">
        <v>626</v>
      </c>
      <c r="B162" s="394">
        <v>626</v>
      </c>
      <c r="C162" s="394" t="s">
        <v>912</v>
      </c>
      <c r="D162" s="395">
        <v>1</v>
      </c>
      <c r="E162" s="325"/>
      <c r="F162" s="324" t="s">
        <v>1687</v>
      </c>
      <c r="G162" s="350">
        <v>66810.86</v>
      </c>
      <c r="H162" s="351">
        <v>30934.58</v>
      </c>
      <c r="I162" s="354">
        <v>35876.28</v>
      </c>
      <c r="K162" s="359"/>
      <c r="M162" s="359"/>
      <c r="O162" s="359"/>
      <c r="T162" s="359"/>
      <c r="V162" s="359"/>
      <c r="Y162" s="370"/>
      <c r="Z162" s="374"/>
      <c r="AF162" s="324" t="s">
        <v>1687</v>
      </c>
      <c r="AG162" s="355">
        <v>678483.86</v>
      </c>
      <c r="AH162" s="351">
        <v>326309.49</v>
      </c>
      <c r="AI162" s="357">
        <v>352174.37</v>
      </c>
      <c r="AK162" s="359"/>
      <c r="AM162" s="359"/>
      <c r="AO162" s="359"/>
      <c r="AT162" s="359"/>
      <c r="AV162" s="359"/>
      <c r="AY162" s="370"/>
      <c r="AZ162" s="374"/>
    </row>
    <row r="163" spans="1:52" s="358" customFormat="1" ht="12.75" outlineLevel="1">
      <c r="A163" s="394">
        <v>627</v>
      </c>
      <c r="B163" s="394">
        <v>627</v>
      </c>
      <c r="C163" s="394" t="s">
        <v>912</v>
      </c>
      <c r="D163" s="395">
        <v>1</v>
      </c>
      <c r="E163" s="325"/>
      <c r="F163" s="324" t="s">
        <v>565</v>
      </c>
      <c r="G163" s="350">
        <v>8367.69</v>
      </c>
      <c r="H163" s="351">
        <v>7139.4400000000005</v>
      </c>
      <c r="I163" s="354">
        <v>1228.25</v>
      </c>
      <c r="K163" s="359"/>
      <c r="M163" s="359"/>
      <c r="O163" s="359"/>
      <c r="T163" s="359"/>
      <c r="V163" s="359"/>
      <c r="Y163" s="370"/>
      <c r="Z163" s="374"/>
      <c r="AF163" s="324" t="s">
        <v>565</v>
      </c>
      <c r="AG163" s="355">
        <v>132615.23</v>
      </c>
      <c r="AH163" s="351">
        <v>138557.48</v>
      </c>
      <c r="AI163" s="357">
        <v>-5942.25</v>
      </c>
      <c r="AK163" s="359"/>
      <c r="AM163" s="359"/>
      <c r="AO163" s="359"/>
      <c r="AT163" s="359"/>
      <c r="AV163" s="359"/>
      <c r="AY163" s="370"/>
      <c r="AZ163" s="374"/>
    </row>
    <row r="164" spans="1:52" s="358" customFormat="1" ht="12.75" outlineLevel="1">
      <c r="A164" s="394">
        <v>628</v>
      </c>
      <c r="B164" s="394">
        <v>628</v>
      </c>
      <c r="C164" s="394" t="s">
        <v>912</v>
      </c>
      <c r="D164" s="395">
        <v>1</v>
      </c>
      <c r="E164" s="325"/>
      <c r="F164" s="324" t="s">
        <v>566</v>
      </c>
      <c r="G164" s="350">
        <v>2400</v>
      </c>
      <c r="H164" s="351">
        <v>395</v>
      </c>
      <c r="I164" s="354">
        <v>2005</v>
      </c>
      <c r="K164" s="359"/>
      <c r="M164" s="359"/>
      <c r="O164" s="359"/>
      <c r="T164" s="359"/>
      <c r="V164" s="359"/>
      <c r="Y164" s="370"/>
      <c r="Z164" s="374"/>
      <c r="AF164" s="324" t="s">
        <v>566</v>
      </c>
      <c r="AG164" s="355">
        <v>2400</v>
      </c>
      <c r="AH164" s="351">
        <v>863</v>
      </c>
      <c r="AI164" s="357">
        <v>1537</v>
      </c>
      <c r="AK164" s="359"/>
      <c r="AM164" s="359"/>
      <c r="AO164" s="359"/>
      <c r="AT164" s="359"/>
      <c r="AV164" s="359"/>
      <c r="AY164" s="370"/>
      <c r="AZ164" s="374"/>
    </row>
    <row r="165" spans="1:52" s="358" customFormat="1" ht="12.75" outlineLevel="1">
      <c r="A165" s="394">
        <v>630</v>
      </c>
      <c r="B165" s="394">
        <v>630</v>
      </c>
      <c r="C165" s="394" t="s">
        <v>912</v>
      </c>
      <c r="D165" s="395">
        <v>1</v>
      </c>
      <c r="E165" s="325"/>
      <c r="F165" s="324" t="s">
        <v>567</v>
      </c>
      <c r="G165" s="350">
        <v>8142.4</v>
      </c>
      <c r="H165" s="351">
        <v>51585.6</v>
      </c>
      <c r="I165" s="354">
        <v>-43443.2</v>
      </c>
      <c r="K165" s="359"/>
      <c r="M165" s="359"/>
      <c r="O165" s="359"/>
      <c r="T165" s="359"/>
      <c r="V165" s="359"/>
      <c r="Y165" s="370"/>
      <c r="Z165" s="374"/>
      <c r="AF165" s="324" t="s">
        <v>567</v>
      </c>
      <c r="AG165" s="355">
        <v>49980.479999999996</v>
      </c>
      <c r="AH165" s="351">
        <v>174431.65</v>
      </c>
      <c r="AI165" s="357">
        <v>-124451.17</v>
      </c>
      <c r="AK165" s="359"/>
      <c r="AM165" s="359"/>
      <c r="AO165" s="359"/>
      <c r="AT165" s="359"/>
      <c r="AV165" s="359"/>
      <c r="AY165" s="370"/>
      <c r="AZ165" s="374"/>
    </row>
    <row r="166" spans="1:52" s="358" customFormat="1" ht="12.75" outlineLevel="1">
      <c r="A166" s="394">
        <v>631</v>
      </c>
      <c r="B166" s="394">
        <v>631</v>
      </c>
      <c r="C166" s="394" t="s">
        <v>912</v>
      </c>
      <c r="D166" s="395">
        <v>1</v>
      </c>
      <c r="E166" s="325"/>
      <c r="F166" s="324" t="s">
        <v>568</v>
      </c>
      <c r="G166" s="350">
        <v>5810.28</v>
      </c>
      <c r="H166" s="351">
        <v>10350.91</v>
      </c>
      <c r="I166" s="354">
        <v>-4540.63</v>
      </c>
      <c r="K166" s="359"/>
      <c r="M166" s="359"/>
      <c r="O166" s="359"/>
      <c r="T166" s="359"/>
      <c r="V166" s="359"/>
      <c r="Y166" s="370"/>
      <c r="Z166" s="374"/>
      <c r="AF166" s="324" t="s">
        <v>568</v>
      </c>
      <c r="AG166" s="355">
        <v>59324.200000000004</v>
      </c>
      <c r="AH166" s="351">
        <v>69301.67</v>
      </c>
      <c r="AI166" s="357">
        <v>-9977.469999999994</v>
      </c>
      <c r="AK166" s="359"/>
      <c r="AM166" s="359"/>
      <c r="AO166" s="359"/>
      <c r="AT166" s="359"/>
      <c r="AV166" s="359"/>
      <c r="AY166" s="370"/>
      <c r="AZ166" s="374"/>
    </row>
    <row r="167" spans="1:52" s="358" customFormat="1" ht="12.75" outlineLevel="1">
      <c r="A167" s="394">
        <v>632</v>
      </c>
      <c r="B167" s="394">
        <v>632</v>
      </c>
      <c r="C167" s="394" t="s">
        <v>912</v>
      </c>
      <c r="D167" s="395">
        <v>1</v>
      </c>
      <c r="E167" s="325"/>
      <c r="F167" s="324" t="s">
        <v>569</v>
      </c>
      <c r="G167" s="350">
        <v>25369.51</v>
      </c>
      <c r="H167" s="351">
        <v>9915.739999999998</v>
      </c>
      <c r="I167" s="354">
        <v>15453.77</v>
      </c>
      <c r="K167" s="359"/>
      <c r="M167" s="359"/>
      <c r="O167" s="359"/>
      <c r="T167" s="359"/>
      <c r="V167" s="359"/>
      <c r="Y167" s="370"/>
      <c r="Z167" s="374"/>
      <c r="AF167" s="324" t="s">
        <v>569</v>
      </c>
      <c r="AG167" s="355">
        <v>91319.34</v>
      </c>
      <c r="AH167" s="351">
        <v>229486.08000000002</v>
      </c>
      <c r="AI167" s="357">
        <v>-138166.74000000002</v>
      </c>
      <c r="AK167" s="359"/>
      <c r="AM167" s="359"/>
      <c r="AO167" s="359"/>
      <c r="AT167" s="359"/>
      <c r="AV167" s="359"/>
      <c r="AY167" s="370"/>
      <c r="AZ167" s="374"/>
    </row>
    <row r="168" spans="1:52" s="358" customFormat="1" ht="12.75" outlineLevel="1">
      <c r="A168" s="394">
        <v>633</v>
      </c>
      <c r="B168" s="394">
        <v>633</v>
      </c>
      <c r="C168" s="394" t="s">
        <v>912</v>
      </c>
      <c r="D168" s="395">
        <v>1</v>
      </c>
      <c r="E168" s="325"/>
      <c r="F168" s="324" t="s">
        <v>570</v>
      </c>
      <c r="G168" s="350">
        <v>2317.69</v>
      </c>
      <c r="H168" s="351">
        <v>293.3</v>
      </c>
      <c r="I168" s="354">
        <v>2024.39</v>
      </c>
      <c r="K168" s="359"/>
      <c r="M168" s="359"/>
      <c r="O168" s="359"/>
      <c r="T168" s="359"/>
      <c r="V168" s="359"/>
      <c r="Y168" s="370"/>
      <c r="Z168" s="374"/>
      <c r="AF168" s="324" t="s">
        <v>570</v>
      </c>
      <c r="AG168" s="355">
        <v>20640.72</v>
      </c>
      <c r="AH168" s="351">
        <v>11852.83</v>
      </c>
      <c r="AI168" s="357">
        <v>8787.890000000001</v>
      </c>
      <c r="AK168" s="359"/>
      <c r="AM168" s="359"/>
      <c r="AO168" s="359"/>
      <c r="AT168" s="359"/>
      <c r="AV168" s="359"/>
      <c r="AY168" s="370"/>
      <c r="AZ168" s="374"/>
    </row>
    <row r="169" spans="1:52" s="358" customFormat="1" ht="12.75" outlineLevel="1">
      <c r="A169" s="394">
        <v>635</v>
      </c>
      <c r="B169" s="394">
        <v>635</v>
      </c>
      <c r="C169" s="394" t="s">
        <v>912</v>
      </c>
      <c r="D169" s="395">
        <v>1</v>
      </c>
      <c r="E169" s="325"/>
      <c r="F169" s="324" t="s">
        <v>571</v>
      </c>
      <c r="G169" s="350">
        <v>19829.5</v>
      </c>
      <c r="H169" s="351">
        <v>17759</v>
      </c>
      <c r="I169" s="354">
        <v>2070.5</v>
      </c>
      <c r="K169" s="359"/>
      <c r="M169" s="359"/>
      <c r="O169" s="359"/>
      <c r="T169" s="359"/>
      <c r="V169" s="359"/>
      <c r="Y169" s="370"/>
      <c r="Z169" s="374"/>
      <c r="AF169" s="324" t="s">
        <v>571</v>
      </c>
      <c r="AG169" s="355">
        <v>187915.8</v>
      </c>
      <c r="AH169" s="351">
        <v>190135</v>
      </c>
      <c r="AI169" s="357">
        <v>-2219.2000000000116</v>
      </c>
      <c r="AK169" s="359"/>
      <c r="AM169" s="359"/>
      <c r="AO169" s="359"/>
      <c r="AT169" s="359"/>
      <c r="AV169" s="359"/>
      <c r="AY169" s="370"/>
      <c r="AZ169" s="374"/>
    </row>
    <row r="170" spans="1:52" s="358" customFormat="1" ht="12.75" outlineLevel="1">
      <c r="A170" s="394">
        <v>636</v>
      </c>
      <c r="B170" s="394">
        <v>636</v>
      </c>
      <c r="C170" s="394" t="s">
        <v>912</v>
      </c>
      <c r="D170" s="395">
        <v>1</v>
      </c>
      <c r="E170" s="325"/>
      <c r="F170" s="324" t="s">
        <v>572</v>
      </c>
      <c r="G170" s="350">
        <v>1270.4</v>
      </c>
      <c r="H170" s="351">
        <v>2240.8</v>
      </c>
      <c r="I170" s="354">
        <v>-970.4000000000001</v>
      </c>
      <c r="K170" s="359"/>
      <c r="M170" s="359"/>
      <c r="O170" s="359"/>
      <c r="T170" s="359"/>
      <c r="V170" s="359"/>
      <c r="Y170" s="370"/>
      <c r="Z170" s="374"/>
      <c r="AF170" s="324" t="s">
        <v>572</v>
      </c>
      <c r="AG170" s="355">
        <v>6095.41</v>
      </c>
      <c r="AH170" s="351">
        <v>14473.01</v>
      </c>
      <c r="AI170" s="357">
        <v>-8377.6</v>
      </c>
      <c r="AK170" s="359"/>
      <c r="AM170" s="359"/>
      <c r="AO170" s="359"/>
      <c r="AT170" s="359"/>
      <c r="AV170" s="359"/>
      <c r="AY170" s="370"/>
      <c r="AZ170" s="374"/>
    </row>
    <row r="171" spans="1:52" s="358" customFormat="1" ht="12.75" outlineLevel="1">
      <c r="A171" s="394">
        <v>637</v>
      </c>
      <c r="B171" s="394">
        <v>637</v>
      </c>
      <c r="C171" s="394" t="s">
        <v>912</v>
      </c>
      <c r="D171" s="395">
        <v>1</v>
      </c>
      <c r="E171" s="325"/>
      <c r="F171" s="324" t="s">
        <v>573</v>
      </c>
      <c r="G171" s="350">
        <v>612.76</v>
      </c>
      <c r="H171" s="351">
        <v>463.78</v>
      </c>
      <c r="I171" s="354">
        <v>148.98000000000002</v>
      </c>
      <c r="K171" s="359"/>
      <c r="M171" s="359"/>
      <c r="O171" s="359"/>
      <c r="T171" s="359"/>
      <c r="V171" s="359"/>
      <c r="Y171" s="370"/>
      <c r="Z171" s="374"/>
      <c r="AF171" s="324" t="s">
        <v>573</v>
      </c>
      <c r="AG171" s="355">
        <v>13965.68</v>
      </c>
      <c r="AH171" s="351">
        <v>18174.2</v>
      </c>
      <c r="AI171" s="357">
        <v>-4208.52</v>
      </c>
      <c r="AK171" s="359"/>
      <c r="AM171" s="359"/>
      <c r="AO171" s="359"/>
      <c r="AT171" s="359"/>
      <c r="AV171" s="359"/>
      <c r="AY171" s="370"/>
      <c r="AZ171" s="374"/>
    </row>
    <row r="172" spans="1:52" s="358" customFormat="1" ht="12.75" outlineLevel="1">
      <c r="A172" s="394">
        <v>738</v>
      </c>
      <c r="B172" s="394">
        <v>738</v>
      </c>
      <c r="C172" s="394" t="s">
        <v>912</v>
      </c>
      <c r="D172" s="395">
        <v>1</v>
      </c>
      <c r="E172" s="325"/>
      <c r="F172" s="324" t="s">
        <v>1689</v>
      </c>
      <c r="G172" s="350">
        <v>920</v>
      </c>
      <c r="H172" s="351">
        <v>985.2</v>
      </c>
      <c r="I172" s="354">
        <v>-65.20000000000005</v>
      </c>
      <c r="K172" s="359"/>
      <c r="M172" s="359"/>
      <c r="O172" s="359"/>
      <c r="T172" s="359"/>
      <c r="V172" s="359"/>
      <c r="Y172" s="370"/>
      <c r="Z172" s="374"/>
      <c r="AF172" s="324" t="s">
        <v>1689</v>
      </c>
      <c r="AG172" s="355">
        <v>3996.84</v>
      </c>
      <c r="AH172" s="351">
        <v>17380.79</v>
      </c>
      <c r="AI172" s="357">
        <v>-13383.95</v>
      </c>
      <c r="AK172" s="359"/>
      <c r="AM172" s="359"/>
      <c r="AO172" s="359"/>
      <c r="AT172" s="359"/>
      <c r="AV172" s="359"/>
      <c r="AY172" s="370"/>
      <c r="AZ172" s="374"/>
    </row>
    <row r="173" spans="1:52" s="358" customFormat="1" ht="12.75" outlineLevel="1">
      <c r="A173" s="394">
        <v>739</v>
      </c>
      <c r="B173" s="394">
        <v>739</v>
      </c>
      <c r="C173" s="394" t="s">
        <v>912</v>
      </c>
      <c r="D173" s="395">
        <v>1</v>
      </c>
      <c r="E173" s="325"/>
      <c r="F173" s="324" t="s">
        <v>560</v>
      </c>
      <c r="G173" s="350">
        <v>0</v>
      </c>
      <c r="H173" s="351">
        <v>0</v>
      </c>
      <c r="I173" s="354">
        <v>0</v>
      </c>
      <c r="K173" s="359"/>
      <c r="M173" s="359"/>
      <c r="O173" s="359"/>
      <c r="T173" s="359"/>
      <c r="V173" s="359"/>
      <c r="Y173" s="370"/>
      <c r="Z173" s="374"/>
      <c r="AF173" s="324" t="s">
        <v>560</v>
      </c>
      <c r="AG173" s="355">
        <v>13016.68</v>
      </c>
      <c r="AH173" s="351">
        <v>0</v>
      </c>
      <c r="AI173" s="357">
        <v>13016.68</v>
      </c>
      <c r="AK173" s="359"/>
      <c r="AM173" s="359"/>
      <c r="AO173" s="359"/>
      <c r="AT173" s="359"/>
      <c r="AV173" s="359"/>
      <c r="AY173" s="370"/>
      <c r="AZ173" s="374"/>
    </row>
    <row r="174" spans="1:52" s="358" customFormat="1" ht="12.75" outlineLevel="1">
      <c r="A174" s="394">
        <v>740</v>
      </c>
      <c r="B174" s="394">
        <v>740</v>
      </c>
      <c r="C174" s="394" t="s">
        <v>912</v>
      </c>
      <c r="D174" s="395">
        <v>1</v>
      </c>
      <c r="E174" s="325"/>
      <c r="F174" s="324" t="s">
        <v>574</v>
      </c>
      <c r="G174" s="350">
        <v>979.03</v>
      </c>
      <c r="H174" s="351">
        <v>8000</v>
      </c>
      <c r="I174" s="354">
        <v>-7020.97</v>
      </c>
      <c r="K174" s="359"/>
      <c r="M174" s="359"/>
      <c r="O174" s="359"/>
      <c r="T174" s="359"/>
      <c r="V174" s="359"/>
      <c r="Y174" s="370"/>
      <c r="Z174" s="374"/>
      <c r="AF174" s="324" t="s">
        <v>574</v>
      </c>
      <c r="AG174" s="355">
        <v>97373.04</v>
      </c>
      <c r="AH174" s="351">
        <v>41628.76</v>
      </c>
      <c r="AI174" s="357">
        <v>55744.27999999999</v>
      </c>
      <c r="AK174" s="359"/>
      <c r="AM174" s="359"/>
      <c r="AO174" s="359"/>
      <c r="AT174" s="359"/>
      <c r="AV174" s="359"/>
      <c r="AY174" s="370"/>
      <c r="AZ174" s="374"/>
    </row>
    <row r="175" spans="1:52" s="358" customFormat="1" ht="12.75" outlineLevel="1">
      <c r="A175" s="394">
        <v>741</v>
      </c>
      <c r="B175" s="394">
        <v>741</v>
      </c>
      <c r="C175" s="394" t="s">
        <v>912</v>
      </c>
      <c r="D175" s="395">
        <v>1</v>
      </c>
      <c r="E175" s="325"/>
      <c r="F175" s="324" t="s">
        <v>561</v>
      </c>
      <c r="G175" s="350">
        <v>4.61</v>
      </c>
      <c r="H175" s="351">
        <v>-2295.73</v>
      </c>
      <c r="I175" s="354">
        <v>2300.34</v>
      </c>
      <c r="K175" s="359"/>
      <c r="M175" s="359"/>
      <c r="O175" s="359"/>
      <c r="T175" s="359"/>
      <c r="V175" s="359"/>
      <c r="Y175" s="370"/>
      <c r="Z175" s="374"/>
      <c r="AF175" s="324" t="s">
        <v>561</v>
      </c>
      <c r="AG175" s="355">
        <v>37658.92</v>
      </c>
      <c r="AH175" s="351">
        <v>22487.989999999998</v>
      </c>
      <c r="AI175" s="357">
        <v>15170.93</v>
      </c>
      <c r="AK175" s="359"/>
      <c r="AM175" s="359"/>
      <c r="AO175" s="359"/>
      <c r="AT175" s="359"/>
      <c r="AV175" s="359"/>
      <c r="AY175" s="370"/>
      <c r="AZ175" s="374"/>
    </row>
    <row r="176" spans="1:52" s="358" customFormat="1" ht="12.75" outlineLevel="1">
      <c r="A176" s="394">
        <v>742</v>
      </c>
      <c r="B176" s="394">
        <v>742</v>
      </c>
      <c r="C176" s="394" t="s">
        <v>912</v>
      </c>
      <c r="D176" s="395">
        <v>1</v>
      </c>
      <c r="E176" s="325"/>
      <c r="F176" s="324" t="s">
        <v>575</v>
      </c>
      <c r="G176" s="350">
        <v>8186.41</v>
      </c>
      <c r="H176" s="351">
        <v>1808.67</v>
      </c>
      <c r="I176" s="354">
        <v>6377.74</v>
      </c>
      <c r="K176" s="359"/>
      <c r="M176" s="359"/>
      <c r="O176" s="359"/>
      <c r="T176" s="359"/>
      <c r="V176" s="359"/>
      <c r="Y176" s="370"/>
      <c r="Z176" s="374"/>
      <c r="AF176" s="324" t="s">
        <v>575</v>
      </c>
      <c r="AG176" s="355">
        <v>33568.380000000005</v>
      </c>
      <c r="AH176" s="351">
        <v>24550.25</v>
      </c>
      <c r="AI176" s="357">
        <v>9018.130000000005</v>
      </c>
      <c r="AK176" s="359"/>
      <c r="AM176" s="359"/>
      <c r="AO176" s="359"/>
      <c r="AT176" s="359"/>
      <c r="AV176" s="359"/>
      <c r="AY176" s="370"/>
      <c r="AZ176" s="374"/>
    </row>
    <row r="177" spans="1:52" s="358" customFormat="1" ht="12.75" outlineLevel="1">
      <c r="A177" s="394">
        <v>743</v>
      </c>
      <c r="B177" s="394">
        <v>743</v>
      </c>
      <c r="C177" s="394" t="s">
        <v>912</v>
      </c>
      <c r="D177" s="395">
        <v>1</v>
      </c>
      <c r="E177" s="325"/>
      <c r="F177" s="324" t="s">
        <v>576</v>
      </c>
      <c r="G177" s="350">
        <v>-3473.18</v>
      </c>
      <c r="H177" s="351">
        <v>160.13</v>
      </c>
      <c r="I177" s="354">
        <v>-3633.31</v>
      </c>
      <c r="K177" s="359"/>
      <c r="M177" s="359"/>
      <c r="O177" s="359"/>
      <c r="T177" s="359"/>
      <c r="V177" s="359"/>
      <c r="Y177" s="370"/>
      <c r="Z177" s="374"/>
      <c r="AF177" s="324" t="s">
        <v>576</v>
      </c>
      <c r="AG177" s="355">
        <v>1699.04</v>
      </c>
      <c r="AH177" s="351">
        <v>-106.57</v>
      </c>
      <c r="AI177" s="357">
        <v>1805.61</v>
      </c>
      <c r="AK177" s="359"/>
      <c r="AM177" s="359"/>
      <c r="AO177" s="359"/>
      <c r="AT177" s="359"/>
      <c r="AV177" s="359"/>
      <c r="AY177" s="370"/>
      <c r="AZ177" s="374"/>
    </row>
    <row r="178" spans="1:52" s="358" customFormat="1" ht="12.75" outlineLevel="1">
      <c r="A178" s="394">
        <v>744</v>
      </c>
      <c r="B178" s="394">
        <v>744</v>
      </c>
      <c r="C178" s="394" t="s">
        <v>912</v>
      </c>
      <c r="D178" s="395">
        <v>1</v>
      </c>
      <c r="E178" s="325"/>
      <c r="F178" s="324" t="s">
        <v>577</v>
      </c>
      <c r="G178" s="350">
        <v>-8269</v>
      </c>
      <c r="H178" s="351">
        <v>542.5</v>
      </c>
      <c r="I178" s="354">
        <v>-8811.5</v>
      </c>
      <c r="K178" s="359"/>
      <c r="M178" s="359"/>
      <c r="O178" s="359"/>
      <c r="T178" s="359"/>
      <c r="V178" s="359"/>
      <c r="Y178" s="370"/>
      <c r="Z178" s="374"/>
      <c r="AF178" s="324" t="s">
        <v>577</v>
      </c>
      <c r="AG178" s="355">
        <v>-156.91</v>
      </c>
      <c r="AH178" s="351">
        <v>1292.95</v>
      </c>
      <c r="AI178" s="357">
        <v>-1449.8600000000001</v>
      </c>
      <c r="AK178" s="359"/>
      <c r="AM178" s="359"/>
      <c r="AO178" s="359"/>
      <c r="AT178" s="359"/>
      <c r="AV178" s="359"/>
      <c r="AY178" s="370"/>
      <c r="AZ178" s="374"/>
    </row>
    <row r="179" spans="1:52" s="358" customFormat="1" ht="12.75" outlineLevel="1">
      <c r="A179" s="394">
        <v>771</v>
      </c>
      <c r="B179" s="394">
        <v>771</v>
      </c>
      <c r="C179" s="394" t="s">
        <v>912</v>
      </c>
      <c r="D179" s="395">
        <v>1</v>
      </c>
      <c r="E179" s="325"/>
      <c r="F179" s="324" t="s">
        <v>578</v>
      </c>
      <c r="G179" s="350">
        <v>1334.91</v>
      </c>
      <c r="H179" s="351">
        <v>1656.22</v>
      </c>
      <c r="I179" s="354">
        <v>-321.30999999999995</v>
      </c>
      <c r="K179" s="359"/>
      <c r="M179" s="359"/>
      <c r="O179" s="359"/>
      <c r="T179" s="359"/>
      <c r="V179" s="359"/>
      <c r="Y179" s="370"/>
      <c r="Z179" s="374"/>
      <c r="AF179" s="324" t="s">
        <v>578</v>
      </c>
      <c r="AG179" s="355">
        <v>15579.980000000001</v>
      </c>
      <c r="AH179" s="351">
        <v>17429.34</v>
      </c>
      <c r="AI179" s="357">
        <v>-1849.3599999999988</v>
      </c>
      <c r="AK179" s="359"/>
      <c r="AM179" s="359"/>
      <c r="AO179" s="359"/>
      <c r="AT179" s="359"/>
      <c r="AV179" s="359"/>
      <c r="AY179" s="370"/>
      <c r="AZ179" s="374"/>
    </row>
    <row r="180" spans="1:52" s="358" customFormat="1" ht="12.75" outlineLevel="1">
      <c r="A180" s="394">
        <v>772</v>
      </c>
      <c r="B180" s="394">
        <v>772</v>
      </c>
      <c r="C180" s="394" t="s">
        <v>912</v>
      </c>
      <c r="D180" s="395">
        <v>1</v>
      </c>
      <c r="E180" s="325"/>
      <c r="F180" s="324" t="s">
        <v>1691</v>
      </c>
      <c r="G180" s="350">
        <v>3922.24</v>
      </c>
      <c r="H180" s="351">
        <v>10069.92</v>
      </c>
      <c r="I180" s="354">
        <v>-6147.68</v>
      </c>
      <c r="K180" s="359"/>
      <c r="M180" s="359"/>
      <c r="O180" s="359"/>
      <c r="T180" s="359"/>
      <c r="V180" s="359"/>
      <c r="Y180" s="370"/>
      <c r="Z180" s="374"/>
      <c r="AF180" s="324" t="s">
        <v>1691</v>
      </c>
      <c r="AG180" s="355">
        <v>55429.55</v>
      </c>
      <c r="AH180" s="351">
        <v>6303.58</v>
      </c>
      <c r="AI180" s="357">
        <v>49125.97</v>
      </c>
      <c r="AK180" s="359"/>
      <c r="AM180" s="359"/>
      <c r="AO180" s="359"/>
      <c r="AT180" s="359"/>
      <c r="AV180" s="359"/>
      <c r="AY180" s="370"/>
      <c r="AZ180" s="374"/>
    </row>
    <row r="181" spans="1:52" s="358" customFormat="1" ht="12.75" outlineLevel="1">
      <c r="A181" s="394">
        <v>780</v>
      </c>
      <c r="B181" s="394">
        <v>780</v>
      </c>
      <c r="C181" s="394" t="s">
        <v>912</v>
      </c>
      <c r="D181" s="395">
        <v>1</v>
      </c>
      <c r="E181" s="325"/>
      <c r="F181" s="324" t="s">
        <v>579</v>
      </c>
      <c r="G181" s="350">
        <v>0</v>
      </c>
      <c r="H181" s="351">
        <v>0</v>
      </c>
      <c r="I181" s="354">
        <v>0</v>
      </c>
      <c r="K181" s="359"/>
      <c r="M181" s="359"/>
      <c r="O181" s="359"/>
      <c r="T181" s="359"/>
      <c r="V181" s="359"/>
      <c r="Y181" s="370"/>
      <c r="Z181" s="374"/>
      <c r="AF181" s="324" t="s">
        <v>579</v>
      </c>
      <c r="AG181" s="355">
        <v>5346</v>
      </c>
      <c r="AH181" s="351">
        <v>3345</v>
      </c>
      <c r="AI181" s="357">
        <v>2001</v>
      </c>
      <c r="AK181" s="359"/>
      <c r="AM181" s="359"/>
      <c r="AO181" s="359"/>
      <c r="AT181" s="359"/>
      <c r="AV181" s="359"/>
      <c r="AY181" s="370"/>
      <c r="AZ181" s="374"/>
    </row>
    <row r="182" spans="1:52" s="358" customFormat="1" ht="12.75" outlineLevel="1">
      <c r="A182" s="394">
        <v>790</v>
      </c>
      <c r="B182" s="394">
        <v>790</v>
      </c>
      <c r="C182" s="394" t="s">
        <v>912</v>
      </c>
      <c r="D182" s="395">
        <v>1</v>
      </c>
      <c r="E182" s="325"/>
      <c r="F182" s="324" t="s">
        <v>672</v>
      </c>
      <c r="G182" s="350">
        <v>20023.08</v>
      </c>
      <c r="H182" s="351">
        <v>89537.4</v>
      </c>
      <c r="I182" s="354">
        <v>-69514.31999999999</v>
      </c>
      <c r="K182" s="359"/>
      <c r="M182" s="359"/>
      <c r="O182" s="359"/>
      <c r="T182" s="359"/>
      <c r="V182" s="359"/>
      <c r="Y182" s="370"/>
      <c r="Z182" s="374"/>
      <c r="AF182" s="324" t="s">
        <v>672</v>
      </c>
      <c r="AG182" s="355">
        <v>189104.87</v>
      </c>
      <c r="AH182" s="351">
        <v>150600</v>
      </c>
      <c r="AI182" s="357">
        <v>38504.869999999995</v>
      </c>
      <c r="AK182" s="359"/>
      <c r="AM182" s="359"/>
      <c r="AO182" s="359"/>
      <c r="AT182" s="359"/>
      <c r="AV182" s="359"/>
      <c r="AY182" s="370"/>
      <c r="AZ182" s="374"/>
    </row>
    <row r="183" spans="1:52" s="358" customFormat="1" ht="12.75">
      <c r="A183" s="394">
        <v>624</v>
      </c>
      <c r="B183" s="394">
        <v>799</v>
      </c>
      <c r="C183" s="394" t="s">
        <v>912</v>
      </c>
      <c r="D183" s="395">
        <v>2</v>
      </c>
      <c r="E183" s="325"/>
      <c r="F183" s="324" t="s">
        <v>559</v>
      </c>
      <c r="G183" s="350">
        <v>164559.19000000003</v>
      </c>
      <c r="H183" s="351">
        <v>241542.46000000002</v>
      </c>
      <c r="I183" s="354">
        <v>-76983.26999999999</v>
      </c>
      <c r="K183" s="359"/>
      <c r="M183" s="359"/>
      <c r="O183" s="359"/>
      <c r="T183" s="359"/>
      <c r="V183" s="359"/>
      <c r="Y183" s="370"/>
      <c r="Z183" s="374"/>
      <c r="AF183" s="324" t="s">
        <v>559</v>
      </c>
      <c r="AG183" s="355">
        <v>1695357.1099999999</v>
      </c>
      <c r="AH183" s="351">
        <v>1458496.5000000002</v>
      </c>
      <c r="AI183" s="357">
        <v>236860.60999999964</v>
      </c>
      <c r="AK183" s="359"/>
      <c r="AM183" s="359"/>
      <c r="AO183" s="359"/>
      <c r="AT183" s="359"/>
      <c r="AV183" s="359"/>
      <c r="AY183" s="370"/>
      <c r="AZ183" s="374"/>
    </row>
    <row r="184" spans="1:52" s="358" customFormat="1" ht="12.75" hidden="1" outlineLevel="1">
      <c r="A184" s="394">
        <v>800</v>
      </c>
      <c r="B184" s="394">
        <v>800</v>
      </c>
      <c r="C184" s="394" t="s">
        <v>912</v>
      </c>
      <c r="D184" s="395">
        <v>1</v>
      </c>
      <c r="E184" s="325"/>
      <c r="F184" s="324" t="s">
        <v>581</v>
      </c>
      <c r="G184" s="350">
        <v>-2967</v>
      </c>
      <c r="H184" s="351">
        <v>-44218</v>
      </c>
      <c r="I184" s="354">
        <v>41251</v>
      </c>
      <c r="K184" s="359"/>
      <c r="M184" s="359"/>
      <c r="O184" s="359"/>
      <c r="T184" s="359"/>
      <c r="V184" s="359"/>
      <c r="Y184" s="370"/>
      <c r="Z184" s="374"/>
      <c r="AF184" s="324" t="s">
        <v>581</v>
      </c>
      <c r="AG184" s="355">
        <v>-8440</v>
      </c>
      <c r="AH184" s="351">
        <v>-49724</v>
      </c>
      <c r="AI184" s="357">
        <v>41284</v>
      </c>
      <c r="AK184" s="359"/>
      <c r="AM184" s="359"/>
      <c r="AO184" s="359"/>
      <c r="AT184" s="359"/>
      <c r="AV184" s="359"/>
      <c r="AY184" s="370"/>
      <c r="AZ184" s="374"/>
    </row>
    <row r="185" spans="1:52" s="358" customFormat="1" ht="12.75" hidden="1" outlineLevel="1">
      <c r="A185" s="394">
        <v>810</v>
      </c>
      <c r="B185" s="394">
        <v>810</v>
      </c>
      <c r="C185" s="394" t="s">
        <v>912</v>
      </c>
      <c r="D185" s="395">
        <v>1</v>
      </c>
      <c r="E185" s="325"/>
      <c r="F185" s="324" t="s">
        <v>1694</v>
      </c>
      <c r="G185" s="350">
        <v>102.42</v>
      </c>
      <c r="H185" s="351">
        <v>0</v>
      </c>
      <c r="I185" s="354">
        <v>102.42</v>
      </c>
      <c r="K185" s="359"/>
      <c r="M185" s="359"/>
      <c r="O185" s="359"/>
      <c r="T185" s="359"/>
      <c r="V185" s="359"/>
      <c r="Y185" s="370"/>
      <c r="Z185" s="374"/>
      <c r="AF185" s="324" t="s">
        <v>1694</v>
      </c>
      <c r="AG185" s="355">
        <v>1880.9</v>
      </c>
      <c r="AH185" s="351">
        <v>218.3</v>
      </c>
      <c r="AI185" s="357">
        <v>1662.6000000000001</v>
      </c>
      <c r="AK185" s="359"/>
      <c r="AM185" s="359"/>
      <c r="AO185" s="359"/>
      <c r="AT185" s="359"/>
      <c r="AV185" s="359"/>
      <c r="AY185" s="370"/>
      <c r="AZ185" s="374"/>
    </row>
    <row r="186" spans="1:52" s="358" customFormat="1" ht="12.75" collapsed="1">
      <c r="A186" s="394">
        <v>800</v>
      </c>
      <c r="B186" s="394">
        <v>839</v>
      </c>
      <c r="C186" s="394" t="s">
        <v>912</v>
      </c>
      <c r="D186" s="395">
        <v>2</v>
      </c>
      <c r="E186" s="325"/>
      <c r="F186" s="324" t="s">
        <v>580</v>
      </c>
      <c r="G186" s="350">
        <v>-2864.58</v>
      </c>
      <c r="H186" s="351">
        <v>-44218</v>
      </c>
      <c r="I186" s="354">
        <v>41353.42</v>
      </c>
      <c r="K186" s="359"/>
      <c r="M186" s="359"/>
      <c r="O186" s="359"/>
      <c r="T186" s="359"/>
      <c r="V186" s="359"/>
      <c r="Y186" s="370"/>
      <c r="Z186" s="374"/>
      <c r="AF186" s="324" t="s">
        <v>580</v>
      </c>
      <c r="AG186" s="355">
        <v>-6559.1</v>
      </c>
      <c r="AH186" s="351">
        <v>-49505.7</v>
      </c>
      <c r="AI186" s="357">
        <v>42946.6</v>
      </c>
      <c r="AK186" s="359"/>
      <c r="AM186" s="359"/>
      <c r="AO186" s="359"/>
      <c r="AT186" s="359"/>
      <c r="AV186" s="359"/>
      <c r="AY186" s="370"/>
      <c r="AZ186" s="374"/>
    </row>
    <row r="187" spans="1:52" s="358" customFormat="1" ht="12.75" hidden="1" outlineLevel="1">
      <c r="A187" s="394">
        <v>840</v>
      </c>
      <c r="B187" s="394">
        <v>840</v>
      </c>
      <c r="C187" s="394" t="s">
        <v>912</v>
      </c>
      <c r="D187" s="395">
        <v>1</v>
      </c>
      <c r="E187" s="325"/>
      <c r="F187" s="324" t="s">
        <v>583</v>
      </c>
      <c r="G187" s="350">
        <v>-7029.74</v>
      </c>
      <c r="H187" s="351">
        <v>-28684.58</v>
      </c>
      <c r="I187" s="354">
        <v>21654.840000000004</v>
      </c>
      <c r="K187" s="359"/>
      <c r="M187" s="359"/>
      <c r="O187" s="359"/>
      <c r="T187" s="359"/>
      <c r="V187" s="359"/>
      <c r="Y187" s="370"/>
      <c r="Z187" s="374"/>
      <c r="AF187" s="324" t="s">
        <v>583</v>
      </c>
      <c r="AG187" s="355">
        <v>-15649.57</v>
      </c>
      <c r="AH187" s="351">
        <v>-37774.04</v>
      </c>
      <c r="AI187" s="357">
        <v>22124.47</v>
      </c>
      <c r="AK187" s="359"/>
      <c r="AM187" s="359"/>
      <c r="AO187" s="359"/>
      <c r="AT187" s="359"/>
      <c r="AV187" s="359"/>
      <c r="AY187" s="370"/>
      <c r="AZ187" s="374"/>
    </row>
    <row r="188" spans="1:52" s="358" customFormat="1" ht="12.75" collapsed="1">
      <c r="A188" s="394">
        <v>840</v>
      </c>
      <c r="B188" s="394">
        <v>899</v>
      </c>
      <c r="C188" s="394" t="s">
        <v>912</v>
      </c>
      <c r="D188" s="395">
        <v>2</v>
      </c>
      <c r="E188" s="325"/>
      <c r="F188" s="324" t="s">
        <v>582</v>
      </c>
      <c r="G188" s="350">
        <v>-7029.74</v>
      </c>
      <c r="H188" s="351">
        <v>-28684.58</v>
      </c>
      <c r="I188" s="354">
        <v>21654.840000000004</v>
      </c>
      <c r="K188" s="359"/>
      <c r="M188" s="359"/>
      <c r="O188" s="359"/>
      <c r="T188" s="359"/>
      <c r="V188" s="359"/>
      <c r="Y188" s="370"/>
      <c r="Z188" s="374"/>
      <c r="AF188" s="324" t="s">
        <v>582</v>
      </c>
      <c r="AG188" s="355">
        <v>-15649.57</v>
      </c>
      <c r="AH188" s="351">
        <v>-37774.04</v>
      </c>
      <c r="AI188" s="357">
        <v>22124.47</v>
      </c>
      <c r="AK188" s="359"/>
      <c r="AM188" s="359"/>
      <c r="AO188" s="359"/>
      <c r="AT188" s="359"/>
      <c r="AV188" s="359"/>
      <c r="AY188" s="370"/>
      <c r="AZ188" s="374"/>
    </row>
    <row r="189" spans="1:52" s="358" customFormat="1" ht="12.75">
      <c r="A189" s="394">
        <v>500</v>
      </c>
      <c r="B189" s="394">
        <v>849</v>
      </c>
      <c r="C189" s="394" t="s">
        <v>912</v>
      </c>
      <c r="D189" s="395">
        <v>3</v>
      </c>
      <c r="E189" s="325"/>
      <c r="F189" s="324" t="s">
        <v>605</v>
      </c>
      <c r="G189" s="350">
        <v>529702.1600000003</v>
      </c>
      <c r="H189" s="351">
        <v>535279.7800000001</v>
      </c>
      <c r="I189" s="354">
        <v>-5577.619999999879</v>
      </c>
      <c r="K189" s="359"/>
      <c r="M189" s="359"/>
      <c r="O189" s="359"/>
      <c r="T189" s="359"/>
      <c r="V189" s="359"/>
      <c r="Y189" s="370"/>
      <c r="Z189" s="374"/>
      <c r="AF189" s="324" t="s">
        <v>605</v>
      </c>
      <c r="AG189" s="355">
        <v>5619325.78</v>
      </c>
      <c r="AH189" s="351">
        <v>5595518.559999999</v>
      </c>
      <c r="AI189" s="357">
        <v>23807.220000001602</v>
      </c>
      <c r="AK189" s="359"/>
      <c r="AM189" s="359"/>
      <c r="AO189" s="359"/>
      <c r="AT189" s="359"/>
      <c r="AV189" s="359"/>
      <c r="AY189" s="370"/>
      <c r="AZ189" s="374"/>
    </row>
    <row r="190" spans="1:52" s="358" customFormat="1" ht="12.75">
      <c r="A190" s="394">
        <v>300</v>
      </c>
      <c r="B190" s="394">
        <v>849</v>
      </c>
      <c r="C190" s="394" t="s">
        <v>912</v>
      </c>
      <c r="D190" s="395">
        <v>4</v>
      </c>
      <c r="E190" s="325"/>
      <c r="F190" s="324" t="s">
        <v>88</v>
      </c>
      <c r="G190" s="350">
        <v>-120375.89000000099</v>
      </c>
      <c r="H190" s="351">
        <v>-99329.07999999996</v>
      </c>
      <c r="I190" s="354">
        <v>-21046.81000000103</v>
      </c>
      <c r="K190" s="359"/>
      <c r="M190" s="359"/>
      <c r="O190" s="359"/>
      <c r="T190" s="359"/>
      <c r="V190" s="359"/>
      <c r="Y190" s="370"/>
      <c r="Z190" s="374"/>
      <c r="AF190" s="324" t="s">
        <v>88</v>
      </c>
      <c r="AG190" s="355">
        <v>317896.9199999854</v>
      </c>
      <c r="AH190" s="351">
        <v>1422682.8199999977</v>
      </c>
      <c r="AI190" s="357">
        <v>-1104785.9000000125</v>
      </c>
      <c r="AK190" s="359"/>
      <c r="AM190" s="359"/>
      <c r="AO190" s="359"/>
      <c r="AT190" s="359"/>
      <c r="AV190" s="359"/>
      <c r="AY190" s="370"/>
      <c r="AZ190" s="374"/>
    </row>
  </sheetData>
  <conditionalFormatting sqref="F4 AF4 AF151:AF190 F151:F190 AF66:AF149 F66:F149">
    <cfRule type="expression" priority="96" dxfId="22">
      <formula>$D4=2</formula>
    </cfRule>
    <cfRule type="expression" priority="97" dxfId="21">
      <formula>$D4=1</formula>
    </cfRule>
  </conditionalFormatting>
  <conditionalFormatting sqref="AF4:AZ4 AF145:AR146 AF149:AI149 AF139:AK144 AM139:AM144 AP139:AR144 AF151:AI190 AF66:AZ136">
    <cfRule type="expression" priority="76" dxfId="20">
      <formula>$D4=1</formula>
    </cfRule>
    <cfRule type="expression" priority="77" dxfId="19">
      <formula>$D4=2</formula>
    </cfRule>
    <cfRule type="expression" priority="78" dxfId="18">
      <formula>$D4=3</formula>
    </cfRule>
    <cfRule type="expression" priority="79" dxfId="17">
      <formula>$D4=4</formula>
    </cfRule>
  </conditionalFormatting>
  <conditionalFormatting sqref="F4:Z4 F145:R146 F149:I149 F139:K144 N139:R144 F151:I190 F66:Z136">
    <cfRule type="expression" priority="81" dxfId="16">
      <formula>$D4=1</formula>
    </cfRule>
    <cfRule type="expression" priority="82" dxfId="15">
      <formula>$D4=2</formula>
    </cfRule>
    <cfRule type="expression" priority="84" dxfId="14">
      <formula>$D4=3</formula>
    </cfRule>
    <cfRule type="expression" priority="85" dxfId="13">
      <formula>$D4=4</formula>
    </cfRule>
  </conditionalFormatting>
  <conditionalFormatting sqref="H4:I4 H139:I144 L4:M4 P4:R4 P139:R144 P66:R134 L66:M134 H66:I134">
    <cfRule type="expression" priority="70" dxfId="11">
      <formula>AND($D4=1,LEFT(Comparison,1)="B")</formula>
    </cfRule>
  </conditionalFormatting>
  <conditionalFormatting sqref="AH4:AI4 AH139:AI144 AL4:AM4 AM139:AM144 AP4:AR4 AP139:AR144 AP66:AR134 AL66:AM134 AH66:AI134">
    <cfRule type="expression" priority="69" dxfId="11">
      <formula>AND($D4=1,LEFT(Comparison,1)="B")</formula>
    </cfRule>
  </conditionalFormatting>
  <conditionalFormatting sqref="S139:S144 U139:V144">
    <cfRule type="expression" priority="65" dxfId="16">
      <formula>$D139=1</formula>
    </cfRule>
    <cfRule type="expression" priority="66" dxfId="15">
      <formula>$D139=2</formula>
    </cfRule>
    <cfRule type="expression" priority="67" dxfId="14">
      <formula>$D139=3</formula>
    </cfRule>
    <cfRule type="expression" priority="68" dxfId="13">
      <formula>$D139=4</formula>
    </cfRule>
  </conditionalFormatting>
  <conditionalFormatting sqref="S139:S144 U139:V144">
    <cfRule type="expression" priority="64" dxfId="11">
      <formula>AND($D139=1,LEFT(Comparison,1)="B")</formula>
    </cfRule>
  </conditionalFormatting>
  <conditionalFormatting sqref="T139:T144">
    <cfRule type="expression" priority="60" dxfId="16">
      <formula>$D139=1</formula>
    </cfRule>
    <cfRule type="expression" priority="61" dxfId="15">
      <formula>$D139=2</formula>
    </cfRule>
    <cfRule type="expression" priority="62" dxfId="14">
      <formula>$D139=3</formula>
    </cfRule>
    <cfRule type="expression" priority="63" dxfId="13">
      <formula>$D139=4</formula>
    </cfRule>
  </conditionalFormatting>
  <conditionalFormatting sqref="T139:T144">
    <cfRule type="expression" priority="59" dxfId="11">
      <formula>AND($D139=1,LEFT(Comparison,1)="B")</formula>
    </cfRule>
  </conditionalFormatting>
  <conditionalFormatting sqref="L139:L144">
    <cfRule type="expression" priority="55" dxfId="16">
      <formula>$D139=1</formula>
    </cfRule>
    <cfRule type="expression" priority="56" dxfId="15">
      <formula>$D139=2</formula>
    </cfRule>
    <cfRule type="expression" priority="57" dxfId="14">
      <formula>$D139=3</formula>
    </cfRule>
    <cfRule type="expression" priority="58" dxfId="13">
      <formula>$D139=4</formula>
    </cfRule>
  </conditionalFormatting>
  <conditionalFormatting sqref="L139:L144">
    <cfRule type="expression" priority="54" dxfId="11">
      <formula>AND($D139=1,LEFT(Comparison,1)="B")</formula>
    </cfRule>
  </conditionalFormatting>
  <conditionalFormatting sqref="M139:M144">
    <cfRule type="expression" priority="50" dxfId="16">
      <formula>$D139=1</formula>
    </cfRule>
    <cfRule type="expression" priority="51" dxfId="15">
      <formula>$D139=2</formula>
    </cfRule>
    <cfRule type="expression" priority="52" dxfId="14">
      <formula>$D139=3</formula>
    </cfRule>
    <cfRule type="expression" priority="53" dxfId="13">
      <formula>$D139=4</formula>
    </cfRule>
  </conditionalFormatting>
  <conditionalFormatting sqref="M139:M144">
    <cfRule type="expression" priority="49" dxfId="11">
      <formula>AND($D139=1,LEFT(Comparison,1)="B")</formula>
    </cfRule>
  </conditionalFormatting>
  <conditionalFormatting sqref="AS139:AT144 AV139:AV144">
    <cfRule type="expression" priority="45" dxfId="20">
      <formula>$D139=1</formula>
    </cfRule>
    <cfRule type="expression" priority="46" dxfId="19">
      <formula>$D139=2</formula>
    </cfRule>
    <cfRule type="expression" priority="47" dxfId="18">
      <formula>$D139=3</formula>
    </cfRule>
    <cfRule type="expression" priority="48" dxfId="17">
      <formula>$D139=4</formula>
    </cfRule>
  </conditionalFormatting>
  <conditionalFormatting sqref="AS139:AT144 AV139:AV144">
    <cfRule type="expression" priority="44" dxfId="11">
      <formula>AND($D139=1,LEFT(Comparison,1)="B")</formula>
    </cfRule>
  </conditionalFormatting>
  <conditionalFormatting sqref="AU139:AU144">
    <cfRule type="expression" priority="40" dxfId="20">
      <formula>$D139=1</formula>
    </cfRule>
    <cfRule type="expression" priority="41" dxfId="19">
      <formula>$D139=2</formula>
    </cfRule>
    <cfRule type="expression" priority="42" dxfId="18">
      <formula>$D139=3</formula>
    </cfRule>
    <cfRule type="expression" priority="43" dxfId="17">
      <formula>$D139=4</formula>
    </cfRule>
  </conditionalFormatting>
  <conditionalFormatting sqref="AU139:AU144">
    <cfRule type="expression" priority="39" dxfId="11">
      <formula>AND($D139=1,LEFT(Comparison,1)="B")</formula>
    </cfRule>
  </conditionalFormatting>
  <conditionalFormatting sqref="AL139:AL144">
    <cfRule type="expression" priority="35" dxfId="20">
      <formula>$D139=1</formula>
    </cfRule>
    <cfRule type="expression" priority="36" dxfId="19">
      <formula>$D139=2</formula>
    </cfRule>
    <cfRule type="expression" priority="37" dxfId="18">
      <formula>$D139=3</formula>
    </cfRule>
    <cfRule type="expression" priority="38" dxfId="17">
      <formula>$D139=4</formula>
    </cfRule>
  </conditionalFormatting>
  <conditionalFormatting sqref="AL139:AL144">
    <cfRule type="expression" priority="34" dxfId="11">
      <formula>AND($D139=1,LEFT(Comparison,1)="B")</formula>
    </cfRule>
  </conditionalFormatting>
  <conditionalFormatting sqref="AO139:AO144">
    <cfRule type="expression" priority="30" dxfId="20">
      <formula>$D139=1</formula>
    </cfRule>
    <cfRule type="expression" priority="31" dxfId="19">
      <formula>$D139=2</formula>
    </cfRule>
    <cfRule type="expression" priority="32" dxfId="18">
      <formula>$D139=3</formula>
    </cfRule>
    <cfRule type="expression" priority="33" dxfId="17">
      <formula>$D139=4</formula>
    </cfRule>
  </conditionalFormatting>
  <conditionalFormatting sqref="AO139:AO144">
    <cfRule type="expression" priority="29" dxfId="11">
      <formula>AND($D139=1,LEFT(Comparison,1)="B")</formula>
    </cfRule>
  </conditionalFormatting>
  <conditionalFormatting sqref="AN139:AN144">
    <cfRule type="expression" priority="25" dxfId="20">
      <formula>$D139=1</formula>
    </cfRule>
    <cfRule type="expression" priority="26" dxfId="19">
      <formula>$D139=2</formula>
    </cfRule>
    <cfRule type="expression" priority="27" dxfId="18">
      <formula>$D139=3</formula>
    </cfRule>
    <cfRule type="expression" priority="28" dxfId="17">
      <formula>$D139=4</formula>
    </cfRule>
  </conditionalFormatting>
  <conditionalFormatting sqref="AN139:AN144">
    <cfRule type="expression" priority="24" dxfId="11">
      <formula>AND($D139=1,LEFT(Comparison,1)="B")</formula>
    </cfRule>
  </conditionalFormatting>
  <conditionalFormatting sqref="S137:V144 AS137:AV144">
    <cfRule type="expression" priority="23" dxfId="33">
      <formula>$A$137=1</formula>
    </cfRule>
  </conditionalFormatting>
  <conditionalFormatting sqref="F150 AF150">
    <cfRule type="expression" priority="21" dxfId="22">
      <formula>$D150=2</formula>
    </cfRule>
    <cfRule type="expression" priority="22" dxfId="21">
      <formula>$D150=1</formula>
    </cfRule>
  </conditionalFormatting>
  <conditionalFormatting sqref="AF150:AI150">
    <cfRule type="expression" priority="13" dxfId="20">
      <formula>$D150=1</formula>
    </cfRule>
    <cfRule type="expression" priority="14" dxfId="19">
      <formula>$D150=2</formula>
    </cfRule>
    <cfRule type="expression" priority="15" dxfId="18">
      <formula>$D150=3</formula>
    </cfRule>
    <cfRule type="expression" priority="16" dxfId="17">
      <formula>$D150=4</formula>
    </cfRule>
  </conditionalFormatting>
  <conditionalFormatting sqref="F150:I150">
    <cfRule type="expression" priority="17" dxfId="16">
      <formula>$D150=1</formula>
    </cfRule>
    <cfRule type="expression" priority="18" dxfId="15">
      <formula>$D150=2</formula>
    </cfRule>
    <cfRule type="expression" priority="19" dxfId="14">
      <formula>$D150=3</formula>
    </cfRule>
    <cfRule type="expression" priority="20" dxfId="13">
      <formula>$D150=4</formula>
    </cfRule>
  </conditionalFormatting>
  <conditionalFormatting sqref="F5:F65 AF5:AF65">
    <cfRule type="expression" priority="11" dxfId="22">
      <formula>$D5=2</formula>
    </cfRule>
    <cfRule type="expression" priority="12" dxfId="21">
      <formula>$D5=1</formula>
    </cfRule>
  </conditionalFormatting>
  <conditionalFormatting sqref="AF5:AZ65">
    <cfRule type="expression" priority="3" dxfId="20">
      <formula>$D5=1</formula>
    </cfRule>
    <cfRule type="expression" priority="4" dxfId="19">
      <formula>$D5=2</formula>
    </cfRule>
    <cfRule type="expression" priority="5" dxfId="18">
      <formula>$D5=3</formula>
    </cfRule>
    <cfRule type="expression" priority="6" dxfId="17">
      <formula>$D5=4</formula>
    </cfRule>
  </conditionalFormatting>
  <conditionalFormatting sqref="F5:Z65">
    <cfRule type="expression" priority="7" dxfId="16">
      <formula>$D5=1</formula>
    </cfRule>
    <cfRule type="expression" priority="8" dxfId="15">
      <formula>$D5=2</formula>
    </cfRule>
    <cfRule type="expression" priority="9" dxfId="14">
      <formula>$D5=3</formula>
    </cfRule>
    <cfRule type="expression" priority="10" dxfId="13">
      <formula>$D5=4</formula>
    </cfRule>
  </conditionalFormatting>
  <conditionalFormatting sqref="H5:I65 L5:M65 P5:R65">
    <cfRule type="expression" priority="2" dxfId="11">
      <formula>AND($D5=1,LEFT(Comparison,1)="B")</formula>
    </cfRule>
  </conditionalFormatting>
  <conditionalFormatting sqref="AH5:AI65 AL5:AM65 AP5:AR65">
    <cfRule type="expression" priority="1" dxfId="11">
      <formula>AND($D5=1,LEFT(Comparison,1)="B")</formula>
    </cfRule>
  </conditionalFormatting>
  <printOptions/>
  <pageMargins left="0.31496062992125984" right="0.15748031496062992" top="0.31496062992125984" bottom="0.31496062992125984" header="0.15748031496062992" footer="0.15748031496062992"/>
  <pageSetup horizontalDpi="600" verticalDpi="600" orientation="landscape" paperSize="9" scale="81" r:id="rId1"/>
  <colBreaks count="1" manualBreakCount="1">
    <brk id="30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936"/>
  <sheetViews>
    <sheetView showGridLines="0" workbookViewId="0" topLeftCell="A1">
      <pane ySplit="4" topLeftCell="A5" activePane="bottomLeft" state="frozen"/>
      <selection pane="bottomLeft" activeCell="A5" sqref="A5"/>
    </sheetView>
  </sheetViews>
  <sheetFormatPr defaultColWidth="11.421875" defaultRowHeight="12.75"/>
  <cols>
    <col min="1" max="1" width="10.7109375" style="5" customWidth="1"/>
    <col min="2" max="2" width="28.28125" style="2" customWidth="1"/>
    <col min="3" max="3" width="12.8515625" style="305" customWidth="1"/>
    <col min="4" max="4" width="8.8515625" style="305" customWidth="1"/>
    <col min="5" max="5" width="10.00390625" style="305" customWidth="1"/>
    <col min="6" max="6" width="12.8515625" style="305" bestFit="1" customWidth="1"/>
    <col min="7" max="8" width="11.421875" style="305" customWidth="1"/>
    <col min="9" max="9" width="12.28125" style="305" bestFit="1" customWidth="1"/>
    <col min="10" max="10" width="10.140625" style="1" customWidth="1"/>
    <col min="11" max="11" width="6.7109375" style="3" customWidth="1"/>
    <col min="12" max="12" width="8.7109375" style="313" customWidth="1"/>
    <col min="13" max="13" width="11.8515625" style="2" hidden="1" customWidth="1"/>
    <col min="14" max="14" width="11.421875" style="311" hidden="1" customWidth="1"/>
    <col min="15" max="15" width="21.7109375" style="310" hidden="1" customWidth="1"/>
    <col min="16" max="16" width="11.421875" style="309" hidden="1" customWidth="1"/>
    <col min="17" max="17" width="11.421875" style="60" hidden="1" customWidth="1"/>
    <col min="18" max="18" width="11.421875" style="309" hidden="1" customWidth="1"/>
    <col min="19" max="19" width="11.421875" style="60" hidden="1" customWidth="1"/>
    <col min="20" max="20" width="11.421875" style="61" hidden="1" customWidth="1"/>
    <col min="21" max="21" width="11.421875" style="60" hidden="1" customWidth="1"/>
    <col min="22" max="22" width="11.421875" style="1" hidden="1" customWidth="1"/>
    <col min="23" max="24" width="21.7109375" style="1" hidden="1" customWidth="1"/>
    <col min="25" max="30" width="7.57421875" style="2" hidden="1" customWidth="1"/>
    <col min="31" max="31" width="11.7109375" style="2" hidden="1" customWidth="1"/>
    <col min="32" max="33" width="7.57421875" style="2" hidden="1" customWidth="1"/>
    <col min="34" max="34" width="11.421875" style="2" hidden="1" customWidth="1"/>
    <col min="35" max="35" width="9.7109375" style="2" hidden="1" customWidth="1"/>
    <col min="36" max="36" width="10.00390625" style="2" hidden="1" customWidth="1"/>
    <col min="37" max="37" width="9.7109375" style="2" hidden="1" customWidth="1"/>
    <col min="38" max="38" width="10.57421875" style="2" hidden="1" customWidth="1"/>
    <col min="39" max="39" width="9.7109375" style="2" hidden="1" customWidth="1"/>
    <col min="40" max="40" width="10.57421875" style="2" hidden="1" customWidth="1"/>
    <col min="41" max="41" width="9.7109375" style="2" hidden="1" customWidth="1"/>
    <col min="42" max="42" width="10.57421875" style="2" hidden="1" customWidth="1"/>
    <col min="43" max="43" width="9.7109375" style="2" hidden="1" customWidth="1"/>
    <col min="44" max="44" width="10.57421875" style="2" hidden="1" customWidth="1"/>
    <col min="45" max="45" width="9.7109375" style="2" hidden="1" customWidth="1"/>
    <col min="46" max="46" width="10.57421875" style="2" hidden="1" customWidth="1"/>
    <col min="47" max="48" width="9.7109375" style="2" hidden="1" customWidth="1"/>
    <col min="49" max="49" width="11.421875" style="1" hidden="1" customWidth="1"/>
    <col min="50" max="16384" width="11.421875" style="1" customWidth="1"/>
  </cols>
  <sheetData>
    <row r="1" spans="1:24" ht="11.25">
      <c r="A1" s="201" t="str">
        <f>Firmanavn&amp;" - "&amp;Firma</f>
        <v>517 Kopervik bensin og storkiosk AS - 83441</v>
      </c>
      <c r="C1" s="304" t="s">
        <v>5</v>
      </c>
      <c r="X1" s="4"/>
    </row>
    <row r="2" spans="1:49" ht="11.25">
      <c r="A2" s="300"/>
      <c r="B2" s="300"/>
      <c r="C2" s="306" t="str">
        <f>"Periode: "&amp;Firma!B5&amp;" - "&amp;Firma!B6</f>
        <v>Periode: 202212 - 202212</v>
      </c>
      <c r="E2" s="300"/>
      <c r="F2" s="300"/>
      <c r="G2" s="300"/>
      <c r="H2" s="300"/>
      <c r="I2" s="300"/>
      <c r="J2" s="300"/>
      <c r="K2" s="300"/>
      <c r="L2" s="314"/>
      <c r="M2" s="300">
        <f aca="true" t="shared" si="0" ref="M2:X2">COLUMN(M2)</f>
        <v>13</v>
      </c>
      <c r="N2" s="312">
        <f t="shared" si="0"/>
        <v>14</v>
      </c>
      <c r="O2" s="301">
        <f t="shared" si="0"/>
        <v>15</v>
      </c>
      <c r="P2" s="303">
        <f t="shared" si="0"/>
        <v>16</v>
      </c>
      <c r="Q2" s="302">
        <f t="shared" si="0"/>
        <v>17</v>
      </c>
      <c r="R2" s="303">
        <f t="shared" si="0"/>
        <v>18</v>
      </c>
      <c r="S2" s="302">
        <f t="shared" si="0"/>
        <v>19</v>
      </c>
      <c r="T2" s="303">
        <f t="shared" si="0"/>
        <v>20</v>
      </c>
      <c r="U2" s="302">
        <f t="shared" si="0"/>
        <v>21</v>
      </c>
      <c r="V2" s="300">
        <f t="shared" si="0"/>
        <v>22</v>
      </c>
      <c r="W2" s="300">
        <f t="shared" si="0"/>
        <v>23</v>
      </c>
      <c r="X2" s="300">
        <f t="shared" si="0"/>
        <v>24</v>
      </c>
      <c r="Y2" s="300">
        <f aca="true" t="shared" si="1" ref="Y2:AV2">COLUMN(Y2)</f>
        <v>25</v>
      </c>
      <c r="Z2" s="300">
        <f t="shared" si="1"/>
        <v>26</v>
      </c>
      <c r="AA2" s="300">
        <f t="shared" si="1"/>
        <v>27</v>
      </c>
      <c r="AB2" s="300">
        <f t="shared" si="1"/>
        <v>28</v>
      </c>
      <c r="AC2" s="300">
        <f t="shared" si="1"/>
        <v>29</v>
      </c>
      <c r="AD2" s="300">
        <f t="shared" si="1"/>
        <v>30</v>
      </c>
      <c r="AE2" s="300">
        <f t="shared" si="1"/>
        <v>31</v>
      </c>
      <c r="AF2" s="300">
        <f t="shared" si="1"/>
        <v>32</v>
      </c>
      <c r="AG2" s="300">
        <f t="shared" si="1"/>
        <v>33</v>
      </c>
      <c r="AH2" s="300">
        <f t="shared" si="1"/>
        <v>34</v>
      </c>
      <c r="AI2" s="300">
        <f t="shared" si="1"/>
        <v>35</v>
      </c>
      <c r="AJ2" s="300">
        <f t="shared" si="1"/>
        <v>36</v>
      </c>
      <c r="AK2" s="300">
        <f t="shared" si="1"/>
        <v>37</v>
      </c>
      <c r="AL2" s="300">
        <f t="shared" si="1"/>
        <v>38</v>
      </c>
      <c r="AM2" s="300">
        <f t="shared" si="1"/>
        <v>39</v>
      </c>
      <c r="AN2" s="300">
        <f t="shared" si="1"/>
        <v>40</v>
      </c>
      <c r="AO2" s="300">
        <f t="shared" si="1"/>
        <v>41</v>
      </c>
      <c r="AP2" s="300">
        <f t="shared" si="1"/>
        <v>42</v>
      </c>
      <c r="AQ2" s="300">
        <f t="shared" si="1"/>
        <v>43</v>
      </c>
      <c r="AR2" s="300">
        <f t="shared" si="1"/>
        <v>44</v>
      </c>
      <c r="AS2" s="300">
        <f t="shared" si="1"/>
        <v>45</v>
      </c>
      <c r="AT2" s="300">
        <f t="shared" si="1"/>
        <v>46</v>
      </c>
      <c r="AU2" s="300">
        <f t="shared" si="1"/>
        <v>47</v>
      </c>
      <c r="AV2" s="300">
        <f t="shared" si="1"/>
        <v>48</v>
      </c>
      <c r="AW2" s="300">
        <f aca="true" t="shared" si="2" ref="AW2">COLUMN(AW2)</f>
        <v>49</v>
      </c>
    </row>
    <row r="3" spans="1:23" ht="11.25">
      <c r="A3" s="307" t="s">
        <v>531</v>
      </c>
      <c r="B3" s="308" t="s">
        <v>532</v>
      </c>
      <c r="C3" s="308" t="s">
        <v>533</v>
      </c>
      <c r="D3" s="308" t="s">
        <v>535</v>
      </c>
      <c r="E3" s="308" t="s">
        <v>534</v>
      </c>
      <c r="F3" s="308" t="s">
        <v>537</v>
      </c>
      <c r="G3" s="308" t="s">
        <v>536</v>
      </c>
      <c r="H3" s="308" t="s">
        <v>538</v>
      </c>
      <c r="I3" s="308" t="s">
        <v>539</v>
      </c>
      <c r="J3" s="308" t="s">
        <v>492</v>
      </c>
      <c r="K3" s="308" t="s">
        <v>541</v>
      </c>
      <c r="L3" s="308" t="s">
        <v>193</v>
      </c>
      <c r="W3" s="308" t="s">
        <v>540</v>
      </c>
    </row>
    <row r="4" spans="1:49" s="34" customFormat="1" ht="25.5" customHeight="1">
      <c r="A4" s="315" t="s">
        <v>7</v>
      </c>
      <c r="B4" s="400" t="s">
        <v>4</v>
      </c>
      <c r="C4" s="401" t="s">
        <v>463</v>
      </c>
      <c r="D4" s="401" t="s">
        <v>464</v>
      </c>
      <c r="E4" s="401" t="s">
        <v>8</v>
      </c>
      <c r="F4" s="401" t="s">
        <v>465</v>
      </c>
      <c r="G4" s="401" t="s">
        <v>466</v>
      </c>
      <c r="H4" s="401" t="s">
        <v>9</v>
      </c>
      <c r="I4" s="401" t="s">
        <v>6</v>
      </c>
      <c r="J4" s="400" t="s">
        <v>966</v>
      </c>
      <c r="K4" s="400" t="s">
        <v>501</v>
      </c>
      <c r="L4" s="400" t="s">
        <v>322</v>
      </c>
      <c r="M4" s="424" t="s">
        <v>607</v>
      </c>
      <c r="N4" s="425" t="s">
        <v>496</v>
      </c>
      <c r="O4" s="426" t="s">
        <v>497</v>
      </c>
      <c r="P4" s="427" t="s">
        <v>606</v>
      </c>
      <c r="Q4" s="428" t="s">
        <v>608</v>
      </c>
      <c r="R4" s="427" t="s">
        <v>494</v>
      </c>
      <c r="S4" s="428" t="s">
        <v>609</v>
      </c>
      <c r="T4" s="429" t="s">
        <v>498</v>
      </c>
      <c r="U4" s="428" t="s">
        <v>1601</v>
      </c>
      <c r="V4" s="430" t="s">
        <v>491</v>
      </c>
      <c r="W4" s="430" t="s">
        <v>10</v>
      </c>
      <c r="X4" s="430" t="s">
        <v>83</v>
      </c>
      <c r="Y4" s="431" t="s">
        <v>467</v>
      </c>
      <c r="Z4" s="431" t="s">
        <v>468</v>
      </c>
      <c r="AA4" s="431" t="s">
        <v>469</v>
      </c>
      <c r="AB4" s="431" t="s">
        <v>470</v>
      </c>
      <c r="AC4" s="431" t="s">
        <v>471</v>
      </c>
      <c r="AD4" s="432" t="s">
        <v>472</v>
      </c>
      <c r="AE4" s="432" t="s">
        <v>473</v>
      </c>
      <c r="AF4" s="432" t="s">
        <v>474</v>
      </c>
      <c r="AG4" s="431" t="s">
        <v>475</v>
      </c>
      <c r="AH4" s="431" t="s">
        <v>476</v>
      </c>
      <c r="AI4" s="431" t="s">
        <v>477</v>
      </c>
      <c r="AJ4" s="431" t="s">
        <v>478</v>
      </c>
      <c r="AK4" s="431" t="s">
        <v>479</v>
      </c>
      <c r="AL4" s="431" t="s">
        <v>480</v>
      </c>
      <c r="AM4" s="431" t="s">
        <v>481</v>
      </c>
      <c r="AN4" s="431" t="s">
        <v>482</v>
      </c>
      <c r="AO4" s="431" t="s">
        <v>483</v>
      </c>
      <c r="AP4" s="431" t="s">
        <v>484</v>
      </c>
      <c r="AQ4" s="431" t="s">
        <v>485</v>
      </c>
      <c r="AR4" s="431" t="s">
        <v>486</v>
      </c>
      <c r="AS4" s="431" t="s">
        <v>487</v>
      </c>
      <c r="AT4" s="431" t="s">
        <v>488</v>
      </c>
      <c r="AU4" s="431" t="s">
        <v>489</v>
      </c>
      <c r="AV4" s="431" t="s">
        <v>490</v>
      </c>
      <c r="AW4" s="430" t="s">
        <v>493</v>
      </c>
    </row>
    <row r="5" spans="1:49" ht="12.75">
      <c r="A5" s="5">
        <v>1070</v>
      </c>
      <c r="B5" s="2" t="s">
        <v>41</v>
      </c>
      <c r="C5" s="305">
        <v>0</v>
      </c>
      <c r="D5" s="305">
        <v>0</v>
      </c>
      <c r="E5" s="305">
        <v>-8560</v>
      </c>
      <c r="F5" s="305">
        <v>166463</v>
      </c>
      <c r="G5" s="305">
        <v>0</v>
      </c>
      <c r="H5" s="305">
        <v>166463</v>
      </c>
      <c r="I5" s="305">
        <v>166463</v>
      </c>
      <c r="K5" s="3" t="s">
        <v>982</v>
      </c>
      <c r="L5" s="365"/>
      <c r="M5" s="2">
        <v>166463</v>
      </c>
      <c r="N5" s="311">
        <v>107</v>
      </c>
      <c r="O5" s="310" t="s">
        <v>41</v>
      </c>
      <c r="V5" s="1">
        <v>0</v>
      </c>
      <c r="W5" s="1" t="s">
        <v>984</v>
      </c>
      <c r="X5" s="1" t="s">
        <v>985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365">
        <v>0</v>
      </c>
      <c r="AE5" s="365">
        <v>0</v>
      </c>
      <c r="AF5" s="365">
        <v>0</v>
      </c>
      <c r="AG5" s="2">
        <v>0</v>
      </c>
      <c r="AH5" s="2">
        <v>0</v>
      </c>
      <c r="AI5" s="2">
        <v>0</v>
      </c>
      <c r="AJ5" s="2">
        <v>-8560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1">
        <v>1</v>
      </c>
    </row>
    <row r="6" spans="1:49" ht="12.75">
      <c r="A6" s="5">
        <v>1120</v>
      </c>
      <c r="B6" s="2" t="s">
        <v>986</v>
      </c>
      <c r="C6" s="305">
        <v>0</v>
      </c>
      <c r="D6" s="305">
        <v>0</v>
      </c>
      <c r="E6" s="305">
        <v>-21000</v>
      </c>
      <c r="F6" s="305">
        <v>17400</v>
      </c>
      <c r="G6" s="305">
        <v>0</v>
      </c>
      <c r="H6" s="305">
        <v>17400</v>
      </c>
      <c r="I6" s="305">
        <v>17400</v>
      </c>
      <c r="K6" s="3" t="s">
        <v>982</v>
      </c>
      <c r="L6" s="365"/>
      <c r="M6" s="2">
        <v>17400</v>
      </c>
      <c r="N6" s="311">
        <v>120</v>
      </c>
      <c r="O6" s="310" t="s">
        <v>42</v>
      </c>
      <c r="V6" s="1">
        <v>0</v>
      </c>
      <c r="W6" s="1" t="s">
        <v>987</v>
      </c>
      <c r="X6" s="1" t="s">
        <v>988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365">
        <v>0</v>
      </c>
      <c r="AE6" s="365">
        <v>0</v>
      </c>
      <c r="AF6" s="365">
        <v>0</v>
      </c>
      <c r="AG6" s="2">
        <v>0</v>
      </c>
      <c r="AH6" s="2">
        <v>0</v>
      </c>
      <c r="AI6" s="2">
        <v>0</v>
      </c>
      <c r="AJ6" s="2">
        <v>-21000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1">
        <v>2</v>
      </c>
    </row>
    <row r="7" spans="1:49" ht="12.75">
      <c r="A7" s="5">
        <v>1250</v>
      </c>
      <c r="B7" s="2" t="s">
        <v>404</v>
      </c>
      <c r="C7" s="305">
        <v>0</v>
      </c>
      <c r="D7" s="305">
        <v>0</v>
      </c>
      <c r="E7" s="305">
        <v>-94585.6</v>
      </c>
      <c r="F7" s="305">
        <v>1554625</v>
      </c>
      <c r="G7" s="305">
        <v>0</v>
      </c>
      <c r="H7" s="305">
        <v>81000</v>
      </c>
      <c r="I7" s="305">
        <v>81000</v>
      </c>
      <c r="K7" s="3" t="s">
        <v>982</v>
      </c>
      <c r="L7" s="365"/>
      <c r="M7" s="2">
        <v>1554625</v>
      </c>
      <c r="N7" s="311">
        <v>120</v>
      </c>
      <c r="O7" s="310" t="s">
        <v>42</v>
      </c>
      <c r="V7" s="1">
        <v>0</v>
      </c>
      <c r="W7" s="1" t="s">
        <v>34</v>
      </c>
      <c r="X7" s="1" t="s">
        <v>988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365">
        <v>51585.6</v>
      </c>
      <c r="AE7" s="365">
        <v>0</v>
      </c>
      <c r="AF7" s="365">
        <v>0</v>
      </c>
      <c r="AG7" s="2">
        <v>0</v>
      </c>
      <c r="AH7" s="2">
        <v>0</v>
      </c>
      <c r="AI7" s="2">
        <v>0</v>
      </c>
      <c r="AJ7" s="2">
        <v>-94585.6</v>
      </c>
      <c r="AK7" s="2">
        <v>0</v>
      </c>
      <c r="AL7" s="2">
        <v>0</v>
      </c>
      <c r="AM7" s="2">
        <v>0</v>
      </c>
      <c r="AN7" s="2">
        <v>1374500</v>
      </c>
      <c r="AO7" s="2">
        <v>0</v>
      </c>
      <c r="AP7" s="2">
        <v>0</v>
      </c>
      <c r="AQ7" s="2">
        <v>99125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1">
        <v>3</v>
      </c>
    </row>
    <row r="8" spans="1:49" ht="12.75">
      <c r="A8" s="5">
        <v>1260</v>
      </c>
      <c r="B8" s="2" t="s">
        <v>989</v>
      </c>
      <c r="C8" s="305">
        <v>0</v>
      </c>
      <c r="D8" s="305">
        <v>0</v>
      </c>
      <c r="E8" s="305">
        <v>-86600</v>
      </c>
      <c r="F8" s="305">
        <v>12000.1</v>
      </c>
      <c r="G8" s="305">
        <v>0</v>
      </c>
      <c r="H8" s="305">
        <v>12000.1</v>
      </c>
      <c r="I8" s="305">
        <v>12000.1</v>
      </c>
      <c r="K8" s="3" t="s">
        <v>982</v>
      </c>
      <c r="L8" s="365"/>
      <c r="M8" s="2">
        <v>12000.1</v>
      </c>
      <c r="N8" s="311">
        <v>120</v>
      </c>
      <c r="O8" s="310" t="s">
        <v>42</v>
      </c>
      <c r="V8" s="1">
        <v>0</v>
      </c>
      <c r="W8" s="1" t="s">
        <v>34</v>
      </c>
      <c r="X8" s="1" t="s">
        <v>988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365">
        <v>0</v>
      </c>
      <c r="AE8" s="365">
        <v>0</v>
      </c>
      <c r="AF8" s="365">
        <v>0</v>
      </c>
      <c r="AG8" s="2">
        <v>0</v>
      </c>
      <c r="AH8" s="2">
        <v>0</v>
      </c>
      <c r="AI8" s="2">
        <v>0</v>
      </c>
      <c r="AJ8" s="2">
        <v>-86600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1">
        <v>4</v>
      </c>
    </row>
    <row r="9" spans="1:49" ht="12.75">
      <c r="A9" s="5">
        <v>1286</v>
      </c>
      <c r="B9" s="2" t="s">
        <v>990</v>
      </c>
      <c r="C9" s="305">
        <v>-836.13</v>
      </c>
      <c r="D9" s="305">
        <v>0</v>
      </c>
      <c r="E9" s="305">
        <v>9197.51</v>
      </c>
      <c r="F9" s="305">
        <v>-10033.57</v>
      </c>
      <c r="G9" s="305">
        <v>0</v>
      </c>
      <c r="H9" s="305">
        <v>0</v>
      </c>
      <c r="I9" s="305">
        <v>0</v>
      </c>
      <c r="K9" s="3" t="s">
        <v>982</v>
      </c>
      <c r="L9" s="365"/>
      <c r="M9" s="2">
        <v>-10033.57</v>
      </c>
      <c r="N9" s="311">
        <v>128</v>
      </c>
      <c r="O9" s="310" t="s">
        <v>43</v>
      </c>
      <c r="V9" s="1">
        <v>0</v>
      </c>
      <c r="W9" s="1" t="s">
        <v>406</v>
      </c>
      <c r="X9" s="1" t="s">
        <v>991</v>
      </c>
      <c r="Y9" s="2">
        <v>-836.14</v>
      </c>
      <c r="Z9" s="2">
        <v>-836.14</v>
      </c>
      <c r="AA9" s="2">
        <v>-836.14</v>
      </c>
      <c r="AB9" s="2">
        <v>-836.14</v>
      </c>
      <c r="AC9" s="2">
        <v>-836.14</v>
      </c>
      <c r="AD9" s="365">
        <v>-836.14</v>
      </c>
      <c r="AE9" s="365">
        <v>-836.13</v>
      </c>
      <c r="AF9" s="365">
        <v>-836.13</v>
      </c>
      <c r="AG9" s="2">
        <v>-836.14</v>
      </c>
      <c r="AH9" s="2">
        <v>-836.13</v>
      </c>
      <c r="AI9" s="2">
        <v>-836.14</v>
      </c>
      <c r="AJ9" s="2">
        <v>9197.51</v>
      </c>
      <c r="AK9" s="2">
        <v>-836.14</v>
      </c>
      <c r="AL9" s="2">
        <v>-836.13</v>
      </c>
      <c r="AM9" s="2">
        <v>-836.13</v>
      </c>
      <c r="AN9" s="2">
        <v>-836.13</v>
      </c>
      <c r="AO9" s="2">
        <v>-836.13</v>
      </c>
      <c r="AP9" s="2">
        <v>-836.13</v>
      </c>
      <c r="AQ9" s="2">
        <v>-836.13</v>
      </c>
      <c r="AR9" s="2">
        <v>-836.13</v>
      </c>
      <c r="AS9" s="2">
        <v>-836.13</v>
      </c>
      <c r="AT9" s="2">
        <v>-836.13</v>
      </c>
      <c r="AU9" s="2">
        <v>-836.13</v>
      </c>
      <c r="AV9" s="2">
        <v>-836.13</v>
      </c>
      <c r="AW9" s="1">
        <v>5</v>
      </c>
    </row>
    <row r="10" spans="1:49" ht="12.75">
      <c r="A10" s="5">
        <v>1288</v>
      </c>
      <c r="B10" s="2" t="s">
        <v>405</v>
      </c>
      <c r="C10" s="305">
        <v>-19186.95</v>
      </c>
      <c r="D10" s="305">
        <v>0</v>
      </c>
      <c r="E10" s="305">
        <v>51865.09</v>
      </c>
      <c r="F10" s="305">
        <v>-179071.3</v>
      </c>
      <c r="G10" s="305">
        <v>0</v>
      </c>
      <c r="H10" s="305">
        <v>0</v>
      </c>
      <c r="I10" s="305">
        <v>0</v>
      </c>
      <c r="K10" s="3" t="s">
        <v>982</v>
      </c>
      <c r="L10" s="365"/>
      <c r="M10" s="2">
        <v>-179071.3</v>
      </c>
      <c r="N10" s="311">
        <v>128</v>
      </c>
      <c r="O10" s="310" t="s">
        <v>43</v>
      </c>
      <c r="V10" s="1">
        <v>0</v>
      </c>
      <c r="W10" s="1" t="s">
        <v>406</v>
      </c>
      <c r="X10" s="1" t="s">
        <v>991</v>
      </c>
      <c r="Y10" s="2">
        <v>-4431.68</v>
      </c>
      <c r="Z10" s="2">
        <v>-4431.68</v>
      </c>
      <c r="AA10" s="2">
        <v>-4431.68</v>
      </c>
      <c r="AB10" s="2">
        <v>-4431.68</v>
      </c>
      <c r="AC10" s="2">
        <v>-4431.68</v>
      </c>
      <c r="AD10" s="365">
        <v>-5291.44</v>
      </c>
      <c r="AE10" s="365">
        <v>-4883.05</v>
      </c>
      <c r="AF10" s="365">
        <v>-4883.06</v>
      </c>
      <c r="AG10" s="2">
        <v>-4883.04</v>
      </c>
      <c r="AH10" s="2">
        <v>-4883.06</v>
      </c>
      <c r="AI10" s="2">
        <v>-4883.04</v>
      </c>
      <c r="AJ10" s="2">
        <v>51865.09</v>
      </c>
      <c r="AK10" s="2">
        <v>-4883.04</v>
      </c>
      <c r="AL10" s="2">
        <v>-4883.06</v>
      </c>
      <c r="AM10" s="2">
        <v>-4883.06</v>
      </c>
      <c r="AN10" s="2">
        <v>-16433.48</v>
      </c>
      <c r="AO10" s="2">
        <v>-16433.48</v>
      </c>
      <c r="AP10" s="2">
        <v>-16433.48</v>
      </c>
      <c r="AQ10" s="2">
        <v>-19186.95</v>
      </c>
      <c r="AR10" s="2">
        <v>-19186.95</v>
      </c>
      <c r="AS10" s="2">
        <v>-19186.95</v>
      </c>
      <c r="AT10" s="2">
        <v>-19186.95</v>
      </c>
      <c r="AU10" s="2">
        <v>-19186.95</v>
      </c>
      <c r="AV10" s="2">
        <v>-19186.95</v>
      </c>
      <c r="AW10" s="1">
        <v>6</v>
      </c>
    </row>
    <row r="11" spans="1:49" ht="12.75">
      <c r="A11" s="5">
        <v>1360</v>
      </c>
      <c r="B11" s="2" t="s">
        <v>992</v>
      </c>
      <c r="C11" s="305">
        <v>0</v>
      </c>
      <c r="D11" s="305">
        <v>0</v>
      </c>
      <c r="E11" s="305">
        <v>-26200</v>
      </c>
      <c r="F11" s="305">
        <v>-43833.13</v>
      </c>
      <c r="G11" s="305">
        <v>0</v>
      </c>
      <c r="H11" s="305">
        <v>-43833.13</v>
      </c>
      <c r="I11" s="305">
        <v>-43833.13</v>
      </c>
      <c r="K11" s="3" t="s">
        <v>982</v>
      </c>
      <c r="L11" s="365"/>
      <c r="M11" s="2">
        <v>-43833.13</v>
      </c>
      <c r="N11" s="311">
        <v>130</v>
      </c>
      <c r="O11" s="310" t="s">
        <v>44</v>
      </c>
      <c r="V11" s="1">
        <v>0</v>
      </c>
      <c r="W11" s="1" t="s">
        <v>993</v>
      </c>
      <c r="X11" s="1" t="s">
        <v>994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365">
        <v>0</v>
      </c>
      <c r="AE11" s="365">
        <v>0</v>
      </c>
      <c r="AF11" s="365">
        <v>0</v>
      </c>
      <c r="AG11" s="2">
        <v>0</v>
      </c>
      <c r="AH11" s="2">
        <v>0</v>
      </c>
      <c r="AI11" s="2">
        <v>0</v>
      </c>
      <c r="AJ11" s="2">
        <v>-26200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1">
        <v>7</v>
      </c>
    </row>
    <row r="12" spans="1:49" ht="12.75">
      <c r="A12" s="5">
        <v>1370</v>
      </c>
      <c r="B12" s="2" t="s">
        <v>995</v>
      </c>
      <c r="C12" s="305">
        <v>0</v>
      </c>
      <c r="D12" s="305">
        <v>0</v>
      </c>
      <c r="E12" s="305">
        <v>-16990.4</v>
      </c>
      <c r="F12" s="305">
        <v>0</v>
      </c>
      <c r="G12" s="305">
        <v>0</v>
      </c>
      <c r="H12" s="305">
        <v>0</v>
      </c>
      <c r="I12" s="305">
        <v>0</v>
      </c>
      <c r="K12" s="3" t="s">
        <v>982</v>
      </c>
      <c r="L12" s="365"/>
      <c r="M12" s="2">
        <v>0</v>
      </c>
      <c r="N12" s="311">
        <v>130</v>
      </c>
      <c r="O12" s="310" t="s">
        <v>44</v>
      </c>
      <c r="V12" s="1">
        <v>0</v>
      </c>
      <c r="W12" s="1" t="s">
        <v>996</v>
      </c>
      <c r="X12" s="1" t="s">
        <v>994</v>
      </c>
      <c r="Y12" s="2">
        <v>0</v>
      </c>
      <c r="Z12" s="2">
        <v>0</v>
      </c>
      <c r="AA12" s="2">
        <v>-6262.74</v>
      </c>
      <c r="AB12" s="2">
        <v>6443.74</v>
      </c>
      <c r="AC12" s="2">
        <v>0</v>
      </c>
      <c r="AD12" s="365">
        <v>0</v>
      </c>
      <c r="AE12" s="365">
        <v>16809.4</v>
      </c>
      <c r="AF12" s="365">
        <v>5500</v>
      </c>
      <c r="AG12" s="2">
        <v>0</v>
      </c>
      <c r="AH12" s="2">
        <v>0</v>
      </c>
      <c r="AI12" s="2">
        <v>-5500</v>
      </c>
      <c r="AJ12" s="2">
        <v>-16990.4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1">
        <v>8</v>
      </c>
    </row>
    <row r="13" spans="1:49" ht="12.75">
      <c r="A13" s="5">
        <v>1393</v>
      </c>
      <c r="B13" s="2" t="s">
        <v>997</v>
      </c>
      <c r="C13" s="305">
        <v>0</v>
      </c>
      <c r="D13" s="305">
        <v>0</v>
      </c>
      <c r="E13" s="305">
        <v>0</v>
      </c>
      <c r="F13" s="305">
        <v>50000</v>
      </c>
      <c r="G13" s="305">
        <v>0</v>
      </c>
      <c r="H13" s="305">
        <v>50000</v>
      </c>
      <c r="I13" s="305">
        <v>50000</v>
      </c>
      <c r="K13" s="3" t="s">
        <v>982</v>
      </c>
      <c r="L13" s="365"/>
      <c r="M13" s="2">
        <v>50000</v>
      </c>
      <c r="N13" s="311">
        <v>130</v>
      </c>
      <c r="O13" s="310" t="s">
        <v>44</v>
      </c>
      <c r="V13" s="1">
        <v>0</v>
      </c>
      <c r="W13" s="1" t="s">
        <v>996</v>
      </c>
      <c r="X13" s="1" t="s">
        <v>994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365">
        <v>0</v>
      </c>
      <c r="AE13" s="365">
        <v>0</v>
      </c>
      <c r="AF13" s="365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1">
        <v>9</v>
      </c>
    </row>
    <row r="14" spans="1:49" ht="12.75">
      <c r="A14" s="5">
        <v>1405</v>
      </c>
      <c r="B14" s="2" t="s">
        <v>214</v>
      </c>
      <c r="C14" s="305">
        <v>-12900</v>
      </c>
      <c r="D14" s="305">
        <v>0</v>
      </c>
      <c r="E14" s="305">
        <v>124500</v>
      </c>
      <c r="F14" s="305">
        <v>94300</v>
      </c>
      <c r="G14" s="305">
        <v>0</v>
      </c>
      <c r="H14" s="305">
        <v>143100</v>
      </c>
      <c r="I14" s="305">
        <v>143100</v>
      </c>
      <c r="J14" s="1" t="s">
        <v>597</v>
      </c>
      <c r="K14" s="3" t="s">
        <v>982</v>
      </c>
      <c r="L14" s="365">
        <v>44926</v>
      </c>
      <c r="M14" s="2">
        <v>94300</v>
      </c>
      <c r="N14" s="311">
        <v>140</v>
      </c>
      <c r="O14" s="310" t="s">
        <v>81</v>
      </c>
      <c r="P14" s="309">
        <v>10</v>
      </c>
      <c r="Q14" s="60" t="s">
        <v>454</v>
      </c>
      <c r="R14" s="309">
        <v>1001</v>
      </c>
      <c r="S14" s="60" t="s">
        <v>455</v>
      </c>
      <c r="T14" s="61">
        <v>110</v>
      </c>
      <c r="U14" s="60" t="s">
        <v>495</v>
      </c>
      <c r="V14" s="1">
        <v>3</v>
      </c>
      <c r="W14" s="1" t="s">
        <v>34</v>
      </c>
      <c r="X14" s="1" t="s">
        <v>998</v>
      </c>
      <c r="Y14" s="2">
        <v>-16500</v>
      </c>
      <c r="Z14" s="2">
        <v>43100</v>
      </c>
      <c r="AA14" s="2">
        <v>-22400</v>
      </c>
      <c r="AB14" s="2">
        <v>61700</v>
      </c>
      <c r="AC14" s="2">
        <v>-44800</v>
      </c>
      <c r="AD14" s="365">
        <v>122200</v>
      </c>
      <c r="AE14" s="365">
        <v>-40600</v>
      </c>
      <c r="AF14" s="365">
        <v>-37700</v>
      </c>
      <c r="AG14" s="2">
        <v>-33400</v>
      </c>
      <c r="AH14" s="2">
        <v>-25900</v>
      </c>
      <c r="AI14" s="2">
        <v>-21600</v>
      </c>
      <c r="AJ14" s="2">
        <v>124500</v>
      </c>
      <c r="AK14" s="2">
        <v>-21300</v>
      </c>
      <c r="AL14" s="2">
        <v>-13500</v>
      </c>
      <c r="AM14" s="2">
        <v>-30100</v>
      </c>
      <c r="AN14" s="2">
        <v>-41300</v>
      </c>
      <c r="AO14" s="2">
        <v>57600</v>
      </c>
      <c r="AP14" s="2">
        <v>22900</v>
      </c>
      <c r="AQ14" s="2">
        <v>-37800</v>
      </c>
      <c r="AR14" s="2">
        <v>35700</v>
      </c>
      <c r="AS14" s="2">
        <v>-36500</v>
      </c>
      <c r="AT14" s="2">
        <v>-25800</v>
      </c>
      <c r="AU14" s="2">
        <v>54200</v>
      </c>
      <c r="AV14" s="2">
        <v>-12900</v>
      </c>
      <c r="AW14" s="1">
        <v>10</v>
      </c>
    </row>
    <row r="15" spans="1:49" ht="12.75">
      <c r="A15" s="5">
        <v>1405</v>
      </c>
      <c r="B15" s="2" t="s">
        <v>215</v>
      </c>
      <c r="C15" s="305">
        <v>-22900</v>
      </c>
      <c r="D15" s="305">
        <v>0</v>
      </c>
      <c r="E15" s="305">
        <v>-56800</v>
      </c>
      <c r="F15" s="305">
        <v>243000</v>
      </c>
      <c r="G15" s="305">
        <v>0</v>
      </c>
      <c r="H15" s="305">
        <v>194400</v>
      </c>
      <c r="I15" s="305">
        <v>194400</v>
      </c>
      <c r="J15" s="1" t="s">
        <v>596</v>
      </c>
      <c r="K15" s="3" t="s">
        <v>982</v>
      </c>
      <c r="L15" s="365">
        <v>44926</v>
      </c>
      <c r="M15" s="2">
        <v>243000</v>
      </c>
      <c r="N15" s="311">
        <v>140</v>
      </c>
      <c r="O15" s="310" t="s">
        <v>81</v>
      </c>
      <c r="P15" s="309">
        <v>10</v>
      </c>
      <c r="Q15" s="60" t="s">
        <v>454</v>
      </c>
      <c r="R15" s="309">
        <v>1001</v>
      </c>
      <c r="S15" s="60" t="s">
        <v>455</v>
      </c>
      <c r="T15" s="61">
        <v>110</v>
      </c>
      <c r="U15" s="60" t="s">
        <v>495</v>
      </c>
      <c r="V15" s="1">
        <v>3</v>
      </c>
      <c r="W15" s="1" t="s">
        <v>34</v>
      </c>
      <c r="X15" s="1" t="s">
        <v>999</v>
      </c>
      <c r="Y15" s="2">
        <v>6100</v>
      </c>
      <c r="Z15" s="2">
        <v>-21300</v>
      </c>
      <c r="AA15" s="2">
        <v>54200</v>
      </c>
      <c r="AB15" s="2">
        <v>-144600</v>
      </c>
      <c r="AC15" s="2">
        <v>150000</v>
      </c>
      <c r="AD15" s="365">
        <v>-129600</v>
      </c>
      <c r="AE15" s="365">
        <v>136900</v>
      </c>
      <c r="AF15" s="365">
        <v>55100</v>
      </c>
      <c r="AG15" s="2">
        <v>-54000</v>
      </c>
      <c r="AH15" s="2">
        <v>-8100</v>
      </c>
      <c r="AI15" s="2">
        <v>26900</v>
      </c>
      <c r="AJ15" s="2">
        <v>-56800</v>
      </c>
      <c r="AK15" s="2">
        <v>23100</v>
      </c>
      <c r="AL15" s="2">
        <v>90700</v>
      </c>
      <c r="AM15" s="2">
        <v>17300</v>
      </c>
      <c r="AN15" s="2">
        <v>-72600</v>
      </c>
      <c r="AO15" s="2">
        <v>-175900</v>
      </c>
      <c r="AP15" s="2">
        <v>180400</v>
      </c>
      <c r="AQ15" s="2">
        <v>-60800</v>
      </c>
      <c r="AR15" s="2">
        <v>-44800</v>
      </c>
      <c r="AS15" s="2">
        <v>143600</v>
      </c>
      <c r="AT15" s="2">
        <v>58900</v>
      </c>
      <c r="AU15" s="2">
        <v>-88400</v>
      </c>
      <c r="AV15" s="2">
        <v>-22900</v>
      </c>
      <c r="AW15" s="1">
        <v>11</v>
      </c>
    </row>
    <row r="16" spans="1:49" ht="12.75">
      <c r="A16" s="5">
        <v>1405</v>
      </c>
      <c r="B16" s="2" t="s">
        <v>350</v>
      </c>
      <c r="C16" s="305">
        <v>-86900</v>
      </c>
      <c r="D16" s="305">
        <v>0</v>
      </c>
      <c r="E16" s="305">
        <v>27800</v>
      </c>
      <c r="F16" s="305">
        <v>142400</v>
      </c>
      <c r="G16" s="305">
        <v>0</v>
      </c>
      <c r="H16" s="305">
        <v>220500</v>
      </c>
      <c r="I16" s="305">
        <v>220500</v>
      </c>
      <c r="J16" s="1" t="s">
        <v>599</v>
      </c>
      <c r="K16" s="3" t="s">
        <v>982</v>
      </c>
      <c r="L16" s="365">
        <v>44926</v>
      </c>
      <c r="M16" s="2">
        <v>142400</v>
      </c>
      <c r="N16" s="311">
        <v>140</v>
      </c>
      <c r="O16" s="310" t="s">
        <v>81</v>
      </c>
      <c r="P16" s="309">
        <v>10</v>
      </c>
      <c r="Q16" s="60" t="s">
        <v>454</v>
      </c>
      <c r="R16" s="309">
        <v>1001</v>
      </c>
      <c r="S16" s="60" t="s">
        <v>455</v>
      </c>
      <c r="T16" s="61">
        <v>110</v>
      </c>
      <c r="U16" s="60" t="s">
        <v>495</v>
      </c>
      <c r="V16" s="1">
        <v>3</v>
      </c>
      <c r="W16" s="1" t="s">
        <v>34</v>
      </c>
      <c r="X16" s="1" t="s">
        <v>1000</v>
      </c>
      <c r="Y16" s="2">
        <v>2300</v>
      </c>
      <c r="Z16" s="2">
        <v>13300</v>
      </c>
      <c r="AA16" s="2">
        <v>29900</v>
      </c>
      <c r="AB16" s="2">
        <v>-85300</v>
      </c>
      <c r="AC16" s="2">
        <v>80400</v>
      </c>
      <c r="AD16" s="365">
        <v>-46200</v>
      </c>
      <c r="AE16" s="365">
        <v>75807</v>
      </c>
      <c r="AF16" s="365">
        <v>-13407</v>
      </c>
      <c r="AG16" s="2">
        <v>44900</v>
      </c>
      <c r="AH16" s="2">
        <v>-99300</v>
      </c>
      <c r="AI16" s="2">
        <v>66500</v>
      </c>
      <c r="AJ16" s="2">
        <v>27800</v>
      </c>
      <c r="AK16" s="2">
        <v>-104600</v>
      </c>
      <c r="AL16" s="2">
        <v>107500</v>
      </c>
      <c r="AM16" s="2">
        <v>35100</v>
      </c>
      <c r="AN16" s="2">
        <v>-72500</v>
      </c>
      <c r="AO16" s="2">
        <v>85300</v>
      </c>
      <c r="AP16" s="2">
        <v>20100</v>
      </c>
      <c r="AQ16" s="2">
        <v>-161500</v>
      </c>
      <c r="AR16" s="2">
        <v>45500</v>
      </c>
      <c r="AS16" s="2">
        <v>78200</v>
      </c>
      <c r="AT16" s="2">
        <v>37300</v>
      </c>
      <c r="AU16" s="2">
        <v>-61600</v>
      </c>
      <c r="AV16" s="2">
        <v>-86900</v>
      </c>
      <c r="AW16" s="1">
        <v>12</v>
      </c>
    </row>
    <row r="17" spans="1:49" ht="12.75">
      <c r="A17" s="5">
        <v>1405</v>
      </c>
      <c r="B17" s="2" t="s">
        <v>351</v>
      </c>
      <c r="C17" s="305">
        <v>8400</v>
      </c>
      <c r="D17" s="305">
        <v>0</v>
      </c>
      <c r="E17" s="305">
        <v>8100</v>
      </c>
      <c r="F17" s="305">
        <v>106100</v>
      </c>
      <c r="G17" s="305">
        <v>0</v>
      </c>
      <c r="H17" s="305">
        <v>79300</v>
      </c>
      <c r="I17" s="305">
        <v>79300</v>
      </c>
      <c r="J17" s="1" t="s">
        <v>598</v>
      </c>
      <c r="K17" s="3" t="s">
        <v>982</v>
      </c>
      <c r="L17" s="365">
        <v>44926</v>
      </c>
      <c r="M17" s="2">
        <v>106100</v>
      </c>
      <c r="N17" s="311">
        <v>140</v>
      </c>
      <c r="O17" s="310" t="s">
        <v>81</v>
      </c>
      <c r="P17" s="309">
        <v>10</v>
      </c>
      <c r="Q17" s="60" t="s">
        <v>454</v>
      </c>
      <c r="R17" s="309">
        <v>1001</v>
      </c>
      <c r="S17" s="60" t="s">
        <v>455</v>
      </c>
      <c r="T17" s="61">
        <v>110</v>
      </c>
      <c r="U17" s="60" t="s">
        <v>495</v>
      </c>
      <c r="V17" s="1">
        <v>3</v>
      </c>
      <c r="W17" s="1" t="s">
        <v>34</v>
      </c>
      <c r="X17" s="1" t="s">
        <v>1001</v>
      </c>
      <c r="Y17" s="2">
        <v>-3800</v>
      </c>
      <c r="Z17" s="2">
        <v>25400</v>
      </c>
      <c r="AA17" s="2">
        <v>-26200</v>
      </c>
      <c r="AB17" s="2">
        <v>700</v>
      </c>
      <c r="AC17" s="2">
        <v>-8900</v>
      </c>
      <c r="AD17" s="365">
        <v>-17300</v>
      </c>
      <c r="AE17" s="365">
        <v>4400</v>
      </c>
      <c r="AF17" s="365">
        <v>-5800</v>
      </c>
      <c r="AG17" s="2">
        <v>3800</v>
      </c>
      <c r="AH17" s="2">
        <v>12500</v>
      </c>
      <c r="AI17" s="2">
        <v>-6400</v>
      </c>
      <c r="AJ17" s="2">
        <v>8100</v>
      </c>
      <c r="AK17" s="2">
        <v>-31900</v>
      </c>
      <c r="AL17" s="2">
        <v>15500</v>
      </c>
      <c r="AM17" s="2">
        <v>8700</v>
      </c>
      <c r="AN17" s="2">
        <v>27700</v>
      </c>
      <c r="AO17" s="2">
        <v>-41700</v>
      </c>
      <c r="AP17" s="2">
        <v>64100</v>
      </c>
      <c r="AQ17" s="2">
        <v>-34100</v>
      </c>
      <c r="AR17" s="2">
        <v>21400</v>
      </c>
      <c r="AS17" s="2">
        <v>-33600</v>
      </c>
      <c r="AT17" s="2">
        <v>-2200</v>
      </c>
      <c r="AU17" s="2">
        <v>24500</v>
      </c>
      <c r="AV17" s="2">
        <v>8400</v>
      </c>
      <c r="AW17" s="1">
        <v>13</v>
      </c>
    </row>
    <row r="18" spans="1:49" ht="12.75">
      <c r="A18" s="5">
        <v>1405</v>
      </c>
      <c r="B18" s="2" t="s">
        <v>216</v>
      </c>
      <c r="C18" s="305">
        <v>-21700</v>
      </c>
      <c r="D18" s="305">
        <v>0</v>
      </c>
      <c r="E18" s="305">
        <v>50900</v>
      </c>
      <c r="F18" s="305">
        <v>48000</v>
      </c>
      <c r="G18" s="305">
        <v>0</v>
      </c>
      <c r="H18" s="305">
        <v>139700</v>
      </c>
      <c r="I18" s="305">
        <v>139700</v>
      </c>
      <c r="J18" s="1" t="s">
        <v>600</v>
      </c>
      <c r="K18" s="3" t="s">
        <v>982</v>
      </c>
      <c r="L18" s="365">
        <v>44926</v>
      </c>
      <c r="M18" s="2">
        <v>48000</v>
      </c>
      <c r="N18" s="311">
        <v>140</v>
      </c>
      <c r="O18" s="310" t="s">
        <v>81</v>
      </c>
      <c r="P18" s="309">
        <v>10</v>
      </c>
      <c r="Q18" s="60" t="s">
        <v>454</v>
      </c>
      <c r="R18" s="309">
        <v>1001</v>
      </c>
      <c r="S18" s="60" t="s">
        <v>455</v>
      </c>
      <c r="T18" s="61">
        <v>110</v>
      </c>
      <c r="U18" s="60" t="s">
        <v>495</v>
      </c>
      <c r="V18" s="1">
        <v>3</v>
      </c>
      <c r="W18" s="1" t="s">
        <v>34</v>
      </c>
      <c r="X18" s="1" t="s">
        <v>1002</v>
      </c>
      <c r="Y18" s="2">
        <v>-30200</v>
      </c>
      <c r="Z18" s="2">
        <v>26800</v>
      </c>
      <c r="AA18" s="2">
        <v>29700</v>
      </c>
      <c r="AB18" s="2">
        <v>-65200</v>
      </c>
      <c r="AC18" s="2">
        <v>42600</v>
      </c>
      <c r="AD18" s="365">
        <v>-51600</v>
      </c>
      <c r="AE18" s="365">
        <v>112000</v>
      </c>
      <c r="AF18" s="365">
        <v>-119300</v>
      </c>
      <c r="AG18" s="2">
        <v>69300</v>
      </c>
      <c r="AH18" s="2">
        <v>-3300</v>
      </c>
      <c r="AI18" s="2">
        <v>-53500</v>
      </c>
      <c r="AJ18" s="2">
        <v>50900</v>
      </c>
      <c r="AK18" s="2">
        <v>-89300</v>
      </c>
      <c r="AL18" s="2">
        <v>58700</v>
      </c>
      <c r="AM18" s="2">
        <v>-46200</v>
      </c>
      <c r="AN18" s="2">
        <v>53000</v>
      </c>
      <c r="AO18" s="2">
        <v>19600</v>
      </c>
      <c r="AP18" s="2">
        <v>110100</v>
      </c>
      <c r="AQ18" s="2">
        <v>-174700</v>
      </c>
      <c r="AR18" s="2">
        <v>60700</v>
      </c>
      <c r="AS18" s="2">
        <v>-23200</v>
      </c>
      <c r="AT18" s="2">
        <v>-36100</v>
      </c>
      <c r="AU18" s="2">
        <v>-2600</v>
      </c>
      <c r="AV18" s="2">
        <v>-21700</v>
      </c>
      <c r="AW18" s="1">
        <v>14</v>
      </c>
    </row>
    <row r="19" spans="1:49" ht="12.75">
      <c r="A19" s="5">
        <v>1410</v>
      </c>
      <c r="B19" s="2" t="s">
        <v>1003</v>
      </c>
      <c r="C19" s="305">
        <v>0</v>
      </c>
      <c r="D19" s="305">
        <v>0</v>
      </c>
      <c r="E19" s="305">
        <v>31535.08</v>
      </c>
      <c r="F19" s="305">
        <v>0</v>
      </c>
      <c r="G19" s="305">
        <v>0</v>
      </c>
      <c r="H19" s="305">
        <v>0</v>
      </c>
      <c r="I19" s="305">
        <v>0</v>
      </c>
      <c r="J19" s="1" t="s">
        <v>826</v>
      </c>
      <c r="K19" s="3" t="s">
        <v>982</v>
      </c>
      <c r="L19" s="365">
        <v>44561</v>
      </c>
      <c r="M19" s="2">
        <v>0</v>
      </c>
      <c r="N19" s="311">
        <v>140</v>
      </c>
      <c r="O19" s="310" t="s">
        <v>81</v>
      </c>
      <c r="P19" s="309">
        <v>40</v>
      </c>
      <c r="Q19" s="60" t="s">
        <v>456</v>
      </c>
      <c r="R19" s="309">
        <v>5012</v>
      </c>
      <c r="S19" s="60" t="s">
        <v>212</v>
      </c>
      <c r="T19" s="61">
        <v>211</v>
      </c>
      <c r="U19" s="60" t="s">
        <v>506</v>
      </c>
      <c r="V19" s="1">
        <v>3</v>
      </c>
      <c r="W19" s="1" t="s">
        <v>34</v>
      </c>
      <c r="X19" s="1" t="s">
        <v>1004</v>
      </c>
      <c r="Y19" s="2">
        <v>-3684.6</v>
      </c>
      <c r="Z19" s="2">
        <v>-6763.65</v>
      </c>
      <c r="AA19" s="2">
        <v>-3538.32</v>
      </c>
      <c r="AB19" s="2">
        <v>-5109.68</v>
      </c>
      <c r="AC19" s="2">
        <v>-4282.6</v>
      </c>
      <c r="AD19" s="365">
        <v>-1537.78</v>
      </c>
      <c r="AE19" s="365">
        <v>-2400.05</v>
      </c>
      <c r="AF19" s="365">
        <v>-2567.2</v>
      </c>
      <c r="AG19" s="2">
        <v>-1651.2</v>
      </c>
      <c r="AH19" s="2">
        <v>0</v>
      </c>
      <c r="AI19" s="2">
        <v>0</v>
      </c>
      <c r="AJ19" s="2">
        <v>31535.08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1">
        <v>15</v>
      </c>
    </row>
    <row r="20" spans="1:49" ht="12.75">
      <c r="A20" s="5">
        <v>1410</v>
      </c>
      <c r="B20" s="2" t="s">
        <v>217</v>
      </c>
      <c r="C20" s="305">
        <v>0</v>
      </c>
      <c r="D20" s="305">
        <v>0</v>
      </c>
      <c r="E20" s="305">
        <v>-114057.66</v>
      </c>
      <c r="F20" s="305">
        <v>0</v>
      </c>
      <c r="G20" s="305">
        <v>0</v>
      </c>
      <c r="H20" s="305">
        <v>0</v>
      </c>
      <c r="I20" s="305">
        <v>0</v>
      </c>
      <c r="J20" s="1" t="s">
        <v>673</v>
      </c>
      <c r="K20" s="3" t="s">
        <v>982</v>
      </c>
      <c r="L20" s="365">
        <v>44561</v>
      </c>
      <c r="M20" s="2">
        <v>0</v>
      </c>
      <c r="N20" s="311">
        <v>140</v>
      </c>
      <c r="O20" s="310" t="s">
        <v>81</v>
      </c>
      <c r="P20" s="309">
        <v>40</v>
      </c>
      <c r="Q20" s="60" t="s">
        <v>456</v>
      </c>
      <c r="R20" s="309">
        <v>5011</v>
      </c>
      <c r="S20" s="60" t="s">
        <v>209</v>
      </c>
      <c r="T20" s="61">
        <v>210</v>
      </c>
      <c r="U20" s="60" t="s">
        <v>500</v>
      </c>
      <c r="V20" s="1">
        <v>3</v>
      </c>
      <c r="W20" s="1" t="s">
        <v>34</v>
      </c>
      <c r="X20" s="1" t="s">
        <v>1005</v>
      </c>
      <c r="Y20" s="2">
        <v>12502.64</v>
      </c>
      <c r="Z20" s="2">
        <v>3318.16</v>
      </c>
      <c r="AA20" s="2">
        <v>-21982.69</v>
      </c>
      <c r="AB20" s="2">
        <v>12876.13</v>
      </c>
      <c r="AC20" s="2">
        <v>-13734.44</v>
      </c>
      <c r="AD20" s="365">
        <v>21110.31</v>
      </c>
      <c r="AE20" s="365">
        <v>10079.64</v>
      </c>
      <c r="AF20" s="365">
        <v>-20499.76</v>
      </c>
      <c r="AG20" s="2">
        <v>-12392.94</v>
      </c>
      <c r="AH20" s="2">
        <v>28080.61</v>
      </c>
      <c r="AI20" s="2">
        <v>0</v>
      </c>
      <c r="AJ20" s="2">
        <v>-114057.66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1">
        <v>16</v>
      </c>
    </row>
    <row r="21" spans="1:49" ht="12.75">
      <c r="A21" s="5">
        <v>1410</v>
      </c>
      <c r="B21" s="2" t="s">
        <v>674</v>
      </c>
      <c r="C21" s="305">
        <v>0</v>
      </c>
      <c r="D21" s="305">
        <v>0</v>
      </c>
      <c r="E21" s="305">
        <v>3.27</v>
      </c>
      <c r="F21" s="305">
        <v>0</v>
      </c>
      <c r="G21" s="305">
        <v>0</v>
      </c>
      <c r="H21" s="305">
        <v>0</v>
      </c>
      <c r="I21" s="305">
        <v>0</v>
      </c>
      <c r="J21" s="1" t="s">
        <v>675</v>
      </c>
      <c r="K21" s="3" t="s">
        <v>982</v>
      </c>
      <c r="L21" s="365">
        <v>44561</v>
      </c>
      <c r="M21" s="2">
        <v>0</v>
      </c>
      <c r="N21" s="311">
        <v>140</v>
      </c>
      <c r="O21" s="310" t="s">
        <v>81</v>
      </c>
      <c r="P21" s="309">
        <v>40</v>
      </c>
      <c r="Q21" s="60" t="s">
        <v>456</v>
      </c>
      <c r="R21" s="309">
        <v>5011</v>
      </c>
      <c r="S21" s="60" t="s">
        <v>209</v>
      </c>
      <c r="T21" s="61">
        <v>210</v>
      </c>
      <c r="U21" s="60" t="s">
        <v>500</v>
      </c>
      <c r="V21" s="1">
        <v>3</v>
      </c>
      <c r="W21" s="1" t="s">
        <v>34</v>
      </c>
      <c r="X21" s="1" t="s">
        <v>1005</v>
      </c>
      <c r="Y21" s="2">
        <v>-0.44</v>
      </c>
      <c r="Z21" s="2">
        <v>-0.59</v>
      </c>
      <c r="AA21" s="2">
        <v>-0.57</v>
      </c>
      <c r="AB21" s="2">
        <v>-0.57</v>
      </c>
      <c r="AC21" s="2">
        <v>-0.44</v>
      </c>
      <c r="AD21" s="365">
        <v>-0.38</v>
      </c>
      <c r="AE21" s="365">
        <v>-0.12</v>
      </c>
      <c r="AF21" s="365">
        <v>-0.16</v>
      </c>
      <c r="AG21" s="2">
        <v>0</v>
      </c>
      <c r="AH21" s="2">
        <v>0</v>
      </c>
      <c r="AI21" s="2">
        <v>0</v>
      </c>
      <c r="AJ21" s="2">
        <v>3.27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1">
        <v>17</v>
      </c>
    </row>
    <row r="22" spans="1:49" ht="12.75">
      <c r="A22" s="5">
        <v>1410</v>
      </c>
      <c r="B22" s="2" t="s">
        <v>218</v>
      </c>
      <c r="C22" s="305">
        <v>0</v>
      </c>
      <c r="D22" s="305">
        <v>0</v>
      </c>
      <c r="E22" s="305">
        <v>-111465.81</v>
      </c>
      <c r="F22" s="305">
        <v>0</v>
      </c>
      <c r="G22" s="305">
        <v>0</v>
      </c>
      <c r="H22" s="305">
        <v>0</v>
      </c>
      <c r="I22" s="305">
        <v>0</v>
      </c>
      <c r="J22" s="1" t="s">
        <v>676</v>
      </c>
      <c r="K22" s="3" t="s">
        <v>982</v>
      </c>
      <c r="L22" s="365">
        <v>44561</v>
      </c>
      <c r="M22" s="2">
        <v>0</v>
      </c>
      <c r="N22" s="311">
        <v>140</v>
      </c>
      <c r="O22" s="310" t="s">
        <v>81</v>
      </c>
      <c r="P22" s="309">
        <v>40</v>
      </c>
      <c r="Q22" s="60" t="s">
        <v>456</v>
      </c>
      <c r="R22" s="309">
        <v>5021</v>
      </c>
      <c r="S22" s="60" t="s">
        <v>201</v>
      </c>
      <c r="T22" s="61">
        <v>120</v>
      </c>
      <c r="U22" s="60" t="s">
        <v>382</v>
      </c>
      <c r="V22" s="1">
        <v>3</v>
      </c>
      <c r="W22" s="1" t="s">
        <v>34</v>
      </c>
      <c r="X22" s="1" t="s">
        <v>1006</v>
      </c>
      <c r="Y22" s="2">
        <v>-8204.61</v>
      </c>
      <c r="Z22" s="2">
        <v>6569.25</v>
      </c>
      <c r="AA22" s="2">
        <v>29249.27</v>
      </c>
      <c r="AB22" s="2">
        <v>-19931.78</v>
      </c>
      <c r="AC22" s="2">
        <v>-17967.97</v>
      </c>
      <c r="AD22" s="365">
        <v>50085.84</v>
      </c>
      <c r="AE22" s="365">
        <v>-12684.66</v>
      </c>
      <c r="AF22" s="365">
        <v>-18013.6</v>
      </c>
      <c r="AG22" s="2">
        <v>2010.53</v>
      </c>
      <c r="AH22" s="2">
        <v>65853.54</v>
      </c>
      <c r="AI22" s="2">
        <v>0</v>
      </c>
      <c r="AJ22" s="2">
        <v>-111465.81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1">
        <v>18</v>
      </c>
    </row>
    <row r="23" spans="1:49" ht="12.75">
      <c r="A23" s="5">
        <v>1410</v>
      </c>
      <c r="B23" s="2" t="s">
        <v>677</v>
      </c>
      <c r="C23" s="305">
        <v>-13031.59</v>
      </c>
      <c r="D23" s="305">
        <v>0</v>
      </c>
      <c r="E23" s="305">
        <v>15217.27</v>
      </c>
      <c r="F23" s="305">
        <v>5200</v>
      </c>
      <c r="G23" s="305">
        <v>0</v>
      </c>
      <c r="H23" s="305">
        <v>4300</v>
      </c>
      <c r="I23" s="305">
        <v>4300</v>
      </c>
      <c r="J23" s="1" t="s">
        <v>678</v>
      </c>
      <c r="K23" s="3" t="s">
        <v>982</v>
      </c>
      <c r="L23" s="365">
        <v>44926</v>
      </c>
      <c r="M23" s="2">
        <v>5200</v>
      </c>
      <c r="N23" s="311">
        <v>140</v>
      </c>
      <c r="O23" s="310" t="s">
        <v>81</v>
      </c>
      <c r="P23" s="309">
        <v>40</v>
      </c>
      <c r="Q23" s="60" t="s">
        <v>456</v>
      </c>
      <c r="R23" s="309">
        <v>5019</v>
      </c>
      <c r="S23" s="60" t="s">
        <v>679</v>
      </c>
      <c r="T23" s="61">
        <v>120</v>
      </c>
      <c r="U23" s="60" t="s">
        <v>382</v>
      </c>
      <c r="V23" s="1">
        <v>3</v>
      </c>
      <c r="W23" s="1" t="s">
        <v>34</v>
      </c>
      <c r="X23" s="1" t="s">
        <v>1007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365">
        <v>0</v>
      </c>
      <c r="AE23" s="365">
        <v>0</v>
      </c>
      <c r="AF23" s="365">
        <v>0</v>
      </c>
      <c r="AG23" s="2">
        <v>0</v>
      </c>
      <c r="AH23" s="2">
        <v>-12493.85</v>
      </c>
      <c r="AI23" s="2">
        <v>1576.58</v>
      </c>
      <c r="AJ23" s="2">
        <v>15217.27</v>
      </c>
      <c r="AK23" s="2">
        <v>-1739.2</v>
      </c>
      <c r="AL23" s="2">
        <v>2143.28</v>
      </c>
      <c r="AM23" s="2">
        <v>-48400.08</v>
      </c>
      <c r="AN23" s="2">
        <v>51496</v>
      </c>
      <c r="AO23" s="2">
        <v>-352.61</v>
      </c>
      <c r="AP23" s="2">
        <v>3349.84</v>
      </c>
      <c r="AQ23" s="2">
        <v>2439.75</v>
      </c>
      <c r="AR23" s="2">
        <v>-4136.98</v>
      </c>
      <c r="AS23" s="2">
        <v>5786.84</v>
      </c>
      <c r="AT23" s="2">
        <v>1133.85</v>
      </c>
      <c r="AU23" s="2">
        <v>2210.9</v>
      </c>
      <c r="AV23" s="2">
        <v>-13031.59</v>
      </c>
      <c r="AW23" s="1">
        <v>19</v>
      </c>
    </row>
    <row r="24" spans="1:49" ht="12.75">
      <c r="A24" s="5">
        <v>1410</v>
      </c>
      <c r="B24" s="2" t="s">
        <v>680</v>
      </c>
      <c r="C24" s="305">
        <v>-2486.81</v>
      </c>
      <c r="D24" s="305">
        <v>0</v>
      </c>
      <c r="E24" s="305">
        <v>31711.21</v>
      </c>
      <c r="F24" s="305">
        <v>6700</v>
      </c>
      <c r="G24" s="305">
        <v>0</v>
      </c>
      <c r="H24" s="305">
        <v>8400</v>
      </c>
      <c r="I24" s="305">
        <v>8400</v>
      </c>
      <c r="J24" s="1" t="s">
        <v>681</v>
      </c>
      <c r="K24" s="3" t="s">
        <v>982</v>
      </c>
      <c r="L24" s="365">
        <v>44926</v>
      </c>
      <c r="M24" s="2">
        <v>6700</v>
      </c>
      <c r="N24" s="311">
        <v>140</v>
      </c>
      <c r="O24" s="310" t="s">
        <v>81</v>
      </c>
      <c r="P24" s="309">
        <v>40</v>
      </c>
      <c r="Q24" s="60" t="s">
        <v>456</v>
      </c>
      <c r="R24" s="309">
        <v>5019</v>
      </c>
      <c r="S24" s="60" t="s">
        <v>679</v>
      </c>
      <c r="T24" s="61">
        <v>120</v>
      </c>
      <c r="U24" s="60" t="s">
        <v>382</v>
      </c>
      <c r="V24" s="1">
        <v>3</v>
      </c>
      <c r="W24" s="1" t="s">
        <v>34</v>
      </c>
      <c r="X24" s="1" t="s">
        <v>1007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365">
        <v>0</v>
      </c>
      <c r="AE24" s="365">
        <v>0</v>
      </c>
      <c r="AF24" s="365">
        <v>0</v>
      </c>
      <c r="AG24" s="2">
        <v>0</v>
      </c>
      <c r="AH24" s="2">
        <v>-16427.76</v>
      </c>
      <c r="AI24" s="2">
        <v>-6883.45</v>
      </c>
      <c r="AJ24" s="2">
        <v>31711.21</v>
      </c>
      <c r="AK24" s="2">
        <v>-4555.87</v>
      </c>
      <c r="AL24" s="2">
        <v>1714.68</v>
      </c>
      <c r="AM24" s="2">
        <v>-5558.81</v>
      </c>
      <c r="AN24" s="2">
        <v>8600</v>
      </c>
      <c r="AO24" s="2">
        <v>-2031</v>
      </c>
      <c r="AP24" s="2">
        <v>2314.12</v>
      </c>
      <c r="AQ24" s="2">
        <v>-2558.44</v>
      </c>
      <c r="AR24" s="2">
        <v>-3224.68</v>
      </c>
      <c r="AS24" s="2">
        <v>2895.2</v>
      </c>
      <c r="AT24" s="2">
        <v>127.45</v>
      </c>
      <c r="AU24" s="2">
        <v>3064.16</v>
      </c>
      <c r="AV24" s="2">
        <v>-2486.81</v>
      </c>
      <c r="AW24" s="1">
        <v>20</v>
      </c>
    </row>
    <row r="25" spans="1:49" ht="12.75">
      <c r="A25" s="5">
        <v>1410</v>
      </c>
      <c r="B25" s="2" t="s">
        <v>682</v>
      </c>
      <c r="C25" s="305">
        <v>21767.58</v>
      </c>
      <c r="D25" s="305">
        <v>0</v>
      </c>
      <c r="E25" s="305">
        <v>4775.99</v>
      </c>
      <c r="F25" s="305">
        <v>13000</v>
      </c>
      <c r="G25" s="305">
        <v>0</v>
      </c>
      <c r="H25" s="305">
        <v>8000</v>
      </c>
      <c r="I25" s="305">
        <v>8000</v>
      </c>
      <c r="J25" s="1" t="s">
        <v>683</v>
      </c>
      <c r="K25" s="3" t="s">
        <v>982</v>
      </c>
      <c r="L25" s="365">
        <v>44926</v>
      </c>
      <c r="M25" s="2">
        <v>13000</v>
      </c>
      <c r="N25" s="311">
        <v>140</v>
      </c>
      <c r="O25" s="310" t="s">
        <v>81</v>
      </c>
      <c r="P25" s="309">
        <v>40</v>
      </c>
      <c r="Q25" s="60" t="s">
        <v>456</v>
      </c>
      <c r="R25" s="309">
        <v>5019</v>
      </c>
      <c r="S25" s="60" t="s">
        <v>679</v>
      </c>
      <c r="T25" s="61">
        <v>120</v>
      </c>
      <c r="U25" s="60" t="s">
        <v>382</v>
      </c>
      <c r="V25" s="1">
        <v>3</v>
      </c>
      <c r="W25" s="1" t="s">
        <v>34</v>
      </c>
      <c r="X25" s="1" t="s">
        <v>1007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365">
        <v>0</v>
      </c>
      <c r="AE25" s="365">
        <v>0</v>
      </c>
      <c r="AF25" s="365">
        <v>0</v>
      </c>
      <c r="AG25" s="2">
        <v>0</v>
      </c>
      <c r="AH25" s="2">
        <v>-8501.44</v>
      </c>
      <c r="AI25" s="2">
        <v>11725.45</v>
      </c>
      <c r="AJ25" s="2">
        <v>4775.99</v>
      </c>
      <c r="AK25" s="2">
        <v>-4044.88</v>
      </c>
      <c r="AL25" s="2">
        <v>-1767.69</v>
      </c>
      <c r="AM25" s="2">
        <v>55712.57</v>
      </c>
      <c r="AN25" s="2">
        <v>-73038.5</v>
      </c>
      <c r="AO25" s="2">
        <v>-14466.4</v>
      </c>
      <c r="AP25" s="2">
        <v>-13802.22</v>
      </c>
      <c r="AQ25" s="2">
        <v>-3579.51</v>
      </c>
      <c r="AR25" s="2">
        <v>52486.63</v>
      </c>
      <c r="AS25" s="2">
        <v>-5096.66</v>
      </c>
      <c r="AT25" s="2">
        <v>-8416.3</v>
      </c>
      <c r="AU25" s="2">
        <v>-754.62</v>
      </c>
      <c r="AV25" s="2">
        <v>21767.58</v>
      </c>
      <c r="AW25" s="1">
        <v>21</v>
      </c>
    </row>
    <row r="26" spans="1:49" ht="12.75">
      <c r="A26" s="5">
        <v>1410</v>
      </c>
      <c r="B26" s="2" t="s">
        <v>684</v>
      </c>
      <c r="C26" s="305">
        <v>-6927.37</v>
      </c>
      <c r="D26" s="305">
        <v>0</v>
      </c>
      <c r="E26" s="305">
        <v>-628.49</v>
      </c>
      <c r="F26" s="305">
        <v>0</v>
      </c>
      <c r="G26" s="305">
        <v>0</v>
      </c>
      <c r="H26" s="305">
        <v>0</v>
      </c>
      <c r="I26" s="305">
        <v>0</v>
      </c>
      <c r="J26" s="1" t="s">
        <v>685</v>
      </c>
      <c r="K26" s="3" t="s">
        <v>982</v>
      </c>
      <c r="L26" s="365">
        <v>44926</v>
      </c>
      <c r="M26" s="2">
        <v>0</v>
      </c>
      <c r="N26" s="311">
        <v>140</v>
      </c>
      <c r="O26" s="310" t="s">
        <v>81</v>
      </c>
      <c r="P26" s="309">
        <v>40</v>
      </c>
      <c r="Q26" s="60" t="s">
        <v>456</v>
      </c>
      <c r="R26" s="309">
        <v>5019</v>
      </c>
      <c r="S26" s="60" t="s">
        <v>679</v>
      </c>
      <c r="T26" s="61">
        <v>120</v>
      </c>
      <c r="U26" s="60" t="s">
        <v>382</v>
      </c>
      <c r="V26" s="1">
        <v>3</v>
      </c>
      <c r="W26" s="1" t="s">
        <v>34</v>
      </c>
      <c r="X26" s="1" t="s">
        <v>1007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365">
        <v>0</v>
      </c>
      <c r="AE26" s="365">
        <v>0</v>
      </c>
      <c r="AF26" s="365">
        <v>0</v>
      </c>
      <c r="AG26" s="2">
        <v>0</v>
      </c>
      <c r="AH26" s="2">
        <v>-71.51</v>
      </c>
      <c r="AI26" s="2">
        <v>700</v>
      </c>
      <c r="AJ26" s="2">
        <v>-628.49</v>
      </c>
      <c r="AK26" s="2">
        <v>176.79</v>
      </c>
      <c r="AL26" s="2">
        <v>-30.16</v>
      </c>
      <c r="AM26" s="2">
        <v>-146.63</v>
      </c>
      <c r="AN26" s="2">
        <v>400</v>
      </c>
      <c r="AO26" s="2">
        <v>-864.12</v>
      </c>
      <c r="AP26" s="2">
        <v>207.58</v>
      </c>
      <c r="AQ26" s="2">
        <v>524.82</v>
      </c>
      <c r="AR26" s="2">
        <v>4331.72</v>
      </c>
      <c r="AS26" s="2">
        <v>-403.5</v>
      </c>
      <c r="AT26" s="2">
        <v>-23.72</v>
      </c>
      <c r="AU26" s="2">
        <v>2754.59</v>
      </c>
      <c r="AV26" s="2">
        <v>-6927.37</v>
      </c>
      <c r="AW26" s="1">
        <v>22</v>
      </c>
    </row>
    <row r="27" spans="1:49" ht="12.75">
      <c r="A27" s="5">
        <v>1410</v>
      </c>
      <c r="B27" s="2" t="s">
        <v>686</v>
      </c>
      <c r="C27" s="305">
        <v>51.79</v>
      </c>
      <c r="D27" s="305">
        <v>0</v>
      </c>
      <c r="E27" s="305">
        <v>706.98</v>
      </c>
      <c r="F27" s="305">
        <v>0</v>
      </c>
      <c r="G27" s="305">
        <v>0</v>
      </c>
      <c r="H27" s="305">
        <v>300</v>
      </c>
      <c r="I27" s="305">
        <v>300</v>
      </c>
      <c r="J27" s="1" t="s">
        <v>687</v>
      </c>
      <c r="K27" s="3" t="s">
        <v>982</v>
      </c>
      <c r="L27" s="365">
        <v>44926</v>
      </c>
      <c r="M27" s="2">
        <v>0</v>
      </c>
      <c r="N27" s="311">
        <v>140</v>
      </c>
      <c r="O27" s="310" t="s">
        <v>81</v>
      </c>
      <c r="P27" s="309">
        <v>40</v>
      </c>
      <c r="Q27" s="60" t="s">
        <v>456</v>
      </c>
      <c r="R27" s="309">
        <v>5019</v>
      </c>
      <c r="S27" s="60" t="s">
        <v>679</v>
      </c>
      <c r="T27" s="61">
        <v>120</v>
      </c>
      <c r="U27" s="60" t="s">
        <v>382</v>
      </c>
      <c r="V27" s="1">
        <v>3</v>
      </c>
      <c r="W27" s="1" t="s">
        <v>34</v>
      </c>
      <c r="X27" s="1" t="s">
        <v>1007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365">
        <v>0</v>
      </c>
      <c r="AE27" s="365">
        <v>0</v>
      </c>
      <c r="AF27" s="365">
        <v>0</v>
      </c>
      <c r="AG27" s="2">
        <v>0</v>
      </c>
      <c r="AH27" s="2">
        <v>-863.28</v>
      </c>
      <c r="AI27" s="2">
        <v>456.3</v>
      </c>
      <c r="AJ27" s="2">
        <v>706.98</v>
      </c>
      <c r="AK27" s="2">
        <v>968.97</v>
      </c>
      <c r="AL27" s="2">
        <v>2410.66</v>
      </c>
      <c r="AM27" s="2">
        <v>-3679.63</v>
      </c>
      <c r="AN27" s="2">
        <v>2600</v>
      </c>
      <c r="AO27" s="2">
        <v>1291.25</v>
      </c>
      <c r="AP27" s="2">
        <v>3087.99</v>
      </c>
      <c r="AQ27" s="2">
        <v>2612.45</v>
      </c>
      <c r="AR27" s="2">
        <v>-9191.69</v>
      </c>
      <c r="AS27" s="2">
        <v>-691.82</v>
      </c>
      <c r="AT27" s="2">
        <v>-1182.6</v>
      </c>
      <c r="AU27" s="2">
        <v>1422.63</v>
      </c>
      <c r="AV27" s="2">
        <v>51.79</v>
      </c>
      <c r="AW27" s="1">
        <v>23</v>
      </c>
    </row>
    <row r="28" spans="1:49" ht="12.75">
      <c r="A28" s="5">
        <v>1410</v>
      </c>
      <c r="B28" s="2" t="s">
        <v>688</v>
      </c>
      <c r="C28" s="305">
        <v>13945.57</v>
      </c>
      <c r="D28" s="305">
        <v>0</v>
      </c>
      <c r="E28" s="305">
        <v>37457.28</v>
      </c>
      <c r="F28" s="305">
        <v>5000</v>
      </c>
      <c r="G28" s="305">
        <v>0</v>
      </c>
      <c r="H28" s="305">
        <v>6700</v>
      </c>
      <c r="I28" s="305">
        <v>6700</v>
      </c>
      <c r="J28" s="1" t="s">
        <v>689</v>
      </c>
      <c r="K28" s="3" t="s">
        <v>982</v>
      </c>
      <c r="L28" s="365">
        <v>44926</v>
      </c>
      <c r="M28" s="2">
        <v>5000</v>
      </c>
      <c r="N28" s="311">
        <v>140</v>
      </c>
      <c r="O28" s="310" t="s">
        <v>81</v>
      </c>
      <c r="P28" s="309">
        <v>40</v>
      </c>
      <c r="Q28" s="60" t="s">
        <v>456</v>
      </c>
      <c r="R28" s="309">
        <v>5019</v>
      </c>
      <c r="S28" s="60" t="s">
        <v>679</v>
      </c>
      <c r="T28" s="61">
        <v>120</v>
      </c>
      <c r="U28" s="60" t="s">
        <v>382</v>
      </c>
      <c r="V28" s="1">
        <v>3</v>
      </c>
      <c r="W28" s="1" t="s">
        <v>34</v>
      </c>
      <c r="X28" s="1" t="s">
        <v>1007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365">
        <v>0</v>
      </c>
      <c r="AE28" s="365">
        <v>0</v>
      </c>
      <c r="AF28" s="365">
        <v>0</v>
      </c>
      <c r="AG28" s="2">
        <v>0</v>
      </c>
      <c r="AH28" s="2">
        <v>-26165.43</v>
      </c>
      <c r="AI28" s="2">
        <v>-4591.85</v>
      </c>
      <c r="AJ28" s="2">
        <v>37457.28</v>
      </c>
      <c r="AK28" s="2">
        <v>-10152.9</v>
      </c>
      <c r="AL28" s="2">
        <v>-8559.6</v>
      </c>
      <c r="AM28" s="2">
        <v>12012.5</v>
      </c>
      <c r="AN28" s="2">
        <v>7000</v>
      </c>
      <c r="AO28" s="2">
        <v>-8909.86</v>
      </c>
      <c r="AP28" s="2">
        <v>-3156.58</v>
      </c>
      <c r="AQ28" s="2">
        <v>-7089.4</v>
      </c>
      <c r="AR28" s="2">
        <v>16255.84</v>
      </c>
      <c r="AS28" s="2">
        <v>-4191.95</v>
      </c>
      <c r="AT28" s="2">
        <v>-1225.77</v>
      </c>
      <c r="AU28" s="2">
        <v>-7627.85</v>
      </c>
      <c r="AV28" s="2">
        <v>13945.57</v>
      </c>
      <c r="AW28" s="1">
        <v>24</v>
      </c>
    </row>
    <row r="29" spans="1:49" ht="12.75">
      <c r="A29" s="5">
        <v>1410</v>
      </c>
      <c r="B29" s="2" t="s">
        <v>1008</v>
      </c>
      <c r="C29" s="305">
        <v>2720</v>
      </c>
      <c r="D29" s="305">
        <v>0</v>
      </c>
      <c r="E29" s="305">
        <v>896</v>
      </c>
      <c r="F29" s="305">
        <v>0</v>
      </c>
      <c r="G29" s="305">
        <v>0</v>
      </c>
      <c r="H29" s="305">
        <v>0</v>
      </c>
      <c r="I29" s="305">
        <v>0</v>
      </c>
      <c r="J29" s="1" t="s">
        <v>885</v>
      </c>
      <c r="K29" s="3" t="s">
        <v>982</v>
      </c>
      <c r="L29" s="365">
        <v>44926</v>
      </c>
      <c r="M29" s="2">
        <v>0</v>
      </c>
      <c r="N29" s="311">
        <v>140</v>
      </c>
      <c r="O29" s="310" t="s">
        <v>81</v>
      </c>
      <c r="P29" s="309">
        <v>40</v>
      </c>
      <c r="Q29" s="60" t="s">
        <v>456</v>
      </c>
      <c r="R29" s="309">
        <v>5019</v>
      </c>
      <c r="S29" s="60" t="s">
        <v>679</v>
      </c>
      <c r="T29" s="61">
        <v>120</v>
      </c>
      <c r="U29" s="60" t="s">
        <v>382</v>
      </c>
      <c r="V29" s="1">
        <v>3</v>
      </c>
      <c r="W29" s="1" t="s">
        <v>34</v>
      </c>
      <c r="X29" s="1" t="s">
        <v>1007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365">
        <v>0</v>
      </c>
      <c r="AE29" s="365">
        <v>0</v>
      </c>
      <c r="AF29" s="365">
        <v>0</v>
      </c>
      <c r="AG29" s="2">
        <v>0</v>
      </c>
      <c r="AH29" s="2">
        <v>-400</v>
      </c>
      <c r="AI29" s="2">
        <v>-496</v>
      </c>
      <c r="AJ29" s="2">
        <v>896</v>
      </c>
      <c r="AK29" s="2">
        <v>-560</v>
      </c>
      <c r="AL29" s="2">
        <v>-240</v>
      </c>
      <c r="AM29" s="2">
        <v>800</v>
      </c>
      <c r="AN29" s="2">
        <v>0</v>
      </c>
      <c r="AO29" s="2">
        <v>-400</v>
      </c>
      <c r="AP29" s="2">
        <v>-278.33</v>
      </c>
      <c r="AQ29" s="2">
        <v>-208</v>
      </c>
      <c r="AR29" s="2">
        <v>886.33</v>
      </c>
      <c r="AS29" s="2">
        <v>-784</v>
      </c>
      <c r="AT29" s="2">
        <v>-880</v>
      </c>
      <c r="AU29" s="2">
        <v>-1056</v>
      </c>
      <c r="AV29" s="2">
        <v>2720</v>
      </c>
      <c r="AW29" s="1">
        <v>25</v>
      </c>
    </row>
    <row r="30" spans="1:49" ht="12.75">
      <c r="A30" s="5">
        <v>1410</v>
      </c>
      <c r="B30" s="2" t="s">
        <v>690</v>
      </c>
      <c r="C30" s="305">
        <v>-27110.69</v>
      </c>
      <c r="D30" s="305">
        <v>0</v>
      </c>
      <c r="E30" s="305">
        <v>-915.08</v>
      </c>
      <c r="F30" s="305">
        <v>0</v>
      </c>
      <c r="G30" s="305">
        <v>0</v>
      </c>
      <c r="H30" s="305">
        <v>3000</v>
      </c>
      <c r="I30" s="305">
        <v>3000</v>
      </c>
      <c r="J30" s="1" t="s">
        <v>691</v>
      </c>
      <c r="K30" s="3" t="s">
        <v>982</v>
      </c>
      <c r="L30" s="365">
        <v>44926</v>
      </c>
      <c r="M30" s="2">
        <v>0</v>
      </c>
      <c r="N30" s="311">
        <v>140</v>
      </c>
      <c r="O30" s="310" t="s">
        <v>81</v>
      </c>
      <c r="P30" s="309">
        <v>40</v>
      </c>
      <c r="Q30" s="60" t="s">
        <v>456</v>
      </c>
      <c r="R30" s="309">
        <v>5019</v>
      </c>
      <c r="S30" s="60" t="s">
        <v>679</v>
      </c>
      <c r="T30" s="61">
        <v>120</v>
      </c>
      <c r="U30" s="60" t="s">
        <v>382</v>
      </c>
      <c r="V30" s="1">
        <v>3</v>
      </c>
      <c r="W30" s="1" t="s">
        <v>34</v>
      </c>
      <c r="X30" s="1" t="s">
        <v>1007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365">
        <v>0</v>
      </c>
      <c r="AE30" s="365">
        <v>0</v>
      </c>
      <c r="AF30" s="365">
        <v>0</v>
      </c>
      <c r="AG30" s="2">
        <v>0</v>
      </c>
      <c r="AH30" s="2">
        <v>0</v>
      </c>
      <c r="AI30" s="2">
        <v>3915.08</v>
      </c>
      <c r="AJ30" s="2">
        <v>-915.08</v>
      </c>
      <c r="AK30" s="2">
        <v>3705.2</v>
      </c>
      <c r="AL30" s="2">
        <v>5425.41</v>
      </c>
      <c r="AM30" s="2">
        <v>-12130.61</v>
      </c>
      <c r="AN30" s="2">
        <v>0</v>
      </c>
      <c r="AO30" s="2">
        <v>5031.77</v>
      </c>
      <c r="AP30" s="2">
        <v>8119.29</v>
      </c>
      <c r="AQ30" s="2">
        <v>4812.68</v>
      </c>
      <c r="AR30" s="2">
        <v>-17963.74</v>
      </c>
      <c r="AS30" s="2">
        <v>10040.5</v>
      </c>
      <c r="AT30" s="2">
        <v>6972.04</v>
      </c>
      <c r="AU30" s="2">
        <v>10098.15</v>
      </c>
      <c r="AV30" s="2">
        <v>-27110.69</v>
      </c>
      <c r="AW30" s="1">
        <v>26</v>
      </c>
    </row>
    <row r="31" spans="1:49" ht="12.75">
      <c r="A31" s="5">
        <v>1410</v>
      </c>
      <c r="B31" s="2" t="s">
        <v>692</v>
      </c>
      <c r="C31" s="305">
        <v>4033.34</v>
      </c>
      <c r="D31" s="305">
        <v>0</v>
      </c>
      <c r="E31" s="305">
        <v>7304.37</v>
      </c>
      <c r="F31" s="305">
        <v>0</v>
      </c>
      <c r="G31" s="305">
        <v>0</v>
      </c>
      <c r="H31" s="305">
        <v>0</v>
      </c>
      <c r="I31" s="305">
        <v>0</v>
      </c>
      <c r="J31" s="1" t="s">
        <v>693</v>
      </c>
      <c r="K31" s="3" t="s">
        <v>982</v>
      </c>
      <c r="L31" s="365">
        <v>44926</v>
      </c>
      <c r="M31" s="2">
        <v>0</v>
      </c>
      <c r="N31" s="311">
        <v>140</v>
      </c>
      <c r="O31" s="310" t="s">
        <v>81</v>
      </c>
      <c r="P31" s="309">
        <v>40</v>
      </c>
      <c r="Q31" s="60" t="s">
        <v>456</v>
      </c>
      <c r="R31" s="309">
        <v>5019</v>
      </c>
      <c r="S31" s="60" t="s">
        <v>679</v>
      </c>
      <c r="T31" s="61">
        <v>120</v>
      </c>
      <c r="U31" s="60" t="s">
        <v>382</v>
      </c>
      <c r="V31" s="1">
        <v>3</v>
      </c>
      <c r="W31" s="1" t="s">
        <v>34</v>
      </c>
      <c r="X31" s="1" t="s">
        <v>1007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365">
        <v>0</v>
      </c>
      <c r="AE31" s="365">
        <v>0</v>
      </c>
      <c r="AF31" s="365">
        <v>0</v>
      </c>
      <c r="AG31" s="2">
        <v>0</v>
      </c>
      <c r="AH31" s="2">
        <v>-5505.75</v>
      </c>
      <c r="AI31" s="2">
        <v>-1798.62</v>
      </c>
      <c r="AJ31" s="2">
        <v>7304.37</v>
      </c>
      <c r="AK31" s="2">
        <v>-278.96</v>
      </c>
      <c r="AL31" s="2">
        <v>-1104.01</v>
      </c>
      <c r="AM31" s="2">
        <v>1382.97</v>
      </c>
      <c r="AN31" s="2">
        <v>0</v>
      </c>
      <c r="AO31" s="2">
        <v>2362.69</v>
      </c>
      <c r="AP31" s="2">
        <v>-449.4</v>
      </c>
      <c r="AQ31" s="2">
        <v>-932.83</v>
      </c>
      <c r="AR31" s="2">
        <v>-980.46</v>
      </c>
      <c r="AS31" s="2">
        <v>-1597.63</v>
      </c>
      <c r="AT31" s="2">
        <v>-2189.2</v>
      </c>
      <c r="AU31" s="2">
        <v>-246.51</v>
      </c>
      <c r="AV31" s="2">
        <v>4033.34</v>
      </c>
      <c r="AW31" s="1">
        <v>27</v>
      </c>
    </row>
    <row r="32" spans="1:49" ht="12.75">
      <c r="A32" s="5">
        <v>1410</v>
      </c>
      <c r="B32" s="2" t="s">
        <v>694</v>
      </c>
      <c r="C32" s="305">
        <v>-15522.93</v>
      </c>
      <c r="D32" s="305">
        <v>0</v>
      </c>
      <c r="E32" s="305">
        <v>29650.71</v>
      </c>
      <c r="F32" s="305">
        <v>15600</v>
      </c>
      <c r="G32" s="305">
        <v>0</v>
      </c>
      <c r="H32" s="305">
        <v>4900</v>
      </c>
      <c r="I32" s="305">
        <v>4900</v>
      </c>
      <c r="J32" s="1" t="s">
        <v>695</v>
      </c>
      <c r="K32" s="3" t="s">
        <v>982</v>
      </c>
      <c r="L32" s="365">
        <v>44926</v>
      </c>
      <c r="M32" s="2">
        <v>15600</v>
      </c>
      <c r="N32" s="311">
        <v>140</v>
      </c>
      <c r="O32" s="310" t="s">
        <v>81</v>
      </c>
      <c r="P32" s="309">
        <v>40</v>
      </c>
      <c r="Q32" s="60" t="s">
        <v>456</v>
      </c>
      <c r="R32" s="309">
        <v>5019</v>
      </c>
      <c r="S32" s="60" t="s">
        <v>679</v>
      </c>
      <c r="T32" s="61">
        <v>120</v>
      </c>
      <c r="U32" s="60" t="s">
        <v>382</v>
      </c>
      <c r="V32" s="1">
        <v>3</v>
      </c>
      <c r="W32" s="1" t="s">
        <v>34</v>
      </c>
      <c r="X32" s="1" t="s">
        <v>1007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365">
        <v>0</v>
      </c>
      <c r="AE32" s="365">
        <v>0</v>
      </c>
      <c r="AF32" s="365">
        <v>0</v>
      </c>
      <c r="AG32" s="2">
        <v>0</v>
      </c>
      <c r="AH32" s="2">
        <v>-14371.82</v>
      </c>
      <c r="AI32" s="2">
        <v>-10378.89</v>
      </c>
      <c r="AJ32" s="2">
        <v>29650.71</v>
      </c>
      <c r="AK32" s="2">
        <v>289.01</v>
      </c>
      <c r="AL32" s="2">
        <v>248.83</v>
      </c>
      <c r="AM32" s="2">
        <v>-5437.84</v>
      </c>
      <c r="AN32" s="2">
        <v>0</v>
      </c>
      <c r="AO32" s="2">
        <v>1220.54</v>
      </c>
      <c r="AP32" s="2">
        <v>2248.46</v>
      </c>
      <c r="AQ32" s="2">
        <v>1810.48</v>
      </c>
      <c r="AR32" s="2">
        <v>11120.52</v>
      </c>
      <c r="AS32" s="2">
        <v>5745.95</v>
      </c>
      <c r="AT32" s="2">
        <v>6418.78</v>
      </c>
      <c r="AU32" s="2">
        <v>2558.2</v>
      </c>
      <c r="AV32" s="2">
        <v>-15522.93</v>
      </c>
      <c r="AW32" s="1">
        <v>28</v>
      </c>
    </row>
    <row r="33" spans="1:49" ht="12.75">
      <c r="A33" s="5">
        <v>1410</v>
      </c>
      <c r="B33" s="2" t="s">
        <v>696</v>
      </c>
      <c r="C33" s="305">
        <v>-6480.29</v>
      </c>
      <c r="D33" s="305">
        <v>0</v>
      </c>
      <c r="E33" s="305">
        <v>3801.06</v>
      </c>
      <c r="F33" s="305">
        <v>6300</v>
      </c>
      <c r="G33" s="305">
        <v>0</v>
      </c>
      <c r="H33" s="305">
        <v>8000</v>
      </c>
      <c r="I33" s="305">
        <v>8000</v>
      </c>
      <c r="J33" s="1" t="s">
        <v>697</v>
      </c>
      <c r="K33" s="3" t="s">
        <v>982</v>
      </c>
      <c r="L33" s="365">
        <v>44926</v>
      </c>
      <c r="M33" s="2">
        <v>6300</v>
      </c>
      <c r="N33" s="311">
        <v>140</v>
      </c>
      <c r="O33" s="310" t="s">
        <v>81</v>
      </c>
      <c r="P33" s="309">
        <v>40</v>
      </c>
      <c r="Q33" s="60" t="s">
        <v>456</v>
      </c>
      <c r="R33" s="309">
        <v>5021</v>
      </c>
      <c r="S33" s="60" t="s">
        <v>201</v>
      </c>
      <c r="T33" s="61">
        <v>130</v>
      </c>
      <c r="U33" s="60" t="s">
        <v>502</v>
      </c>
      <c r="V33" s="1">
        <v>3</v>
      </c>
      <c r="W33" s="1" t="s">
        <v>34</v>
      </c>
      <c r="X33" s="1" t="s">
        <v>1009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365">
        <v>0</v>
      </c>
      <c r="AE33" s="365">
        <v>0</v>
      </c>
      <c r="AF33" s="365">
        <v>0</v>
      </c>
      <c r="AG33" s="2">
        <v>0</v>
      </c>
      <c r="AH33" s="2">
        <v>-835.76</v>
      </c>
      <c r="AI33" s="2">
        <v>5034.7</v>
      </c>
      <c r="AJ33" s="2">
        <v>3801.06</v>
      </c>
      <c r="AK33" s="2">
        <v>1512.64</v>
      </c>
      <c r="AL33" s="2">
        <v>4571.68</v>
      </c>
      <c r="AM33" s="2">
        <v>3144.38</v>
      </c>
      <c r="AN33" s="2">
        <v>-14128.7</v>
      </c>
      <c r="AO33" s="2">
        <v>2654.81</v>
      </c>
      <c r="AP33" s="2">
        <v>4482.14</v>
      </c>
      <c r="AQ33" s="2">
        <v>2131.86</v>
      </c>
      <c r="AR33" s="2">
        <v>-9768.81</v>
      </c>
      <c r="AS33" s="2">
        <v>4624.08</v>
      </c>
      <c r="AT33" s="2">
        <v>2461.44</v>
      </c>
      <c r="AU33" s="2">
        <v>3094.77</v>
      </c>
      <c r="AV33" s="2">
        <v>-6480.29</v>
      </c>
      <c r="AW33" s="1">
        <v>29</v>
      </c>
    </row>
    <row r="34" spans="1:49" ht="12.75">
      <c r="A34" s="5">
        <v>1410</v>
      </c>
      <c r="B34" s="2" t="s">
        <v>698</v>
      </c>
      <c r="C34" s="305">
        <v>4364.75</v>
      </c>
      <c r="D34" s="305">
        <v>0</v>
      </c>
      <c r="E34" s="305">
        <v>2556.57</v>
      </c>
      <c r="F34" s="305">
        <v>0</v>
      </c>
      <c r="G34" s="305">
        <v>0</v>
      </c>
      <c r="H34" s="305">
        <v>0</v>
      </c>
      <c r="I34" s="305">
        <v>0</v>
      </c>
      <c r="J34" s="1" t="s">
        <v>699</v>
      </c>
      <c r="K34" s="3" t="s">
        <v>982</v>
      </c>
      <c r="L34" s="365">
        <v>44926</v>
      </c>
      <c r="M34" s="2">
        <v>0</v>
      </c>
      <c r="N34" s="311">
        <v>140</v>
      </c>
      <c r="O34" s="310" t="s">
        <v>81</v>
      </c>
      <c r="P34" s="309">
        <v>40</v>
      </c>
      <c r="Q34" s="60" t="s">
        <v>456</v>
      </c>
      <c r="R34" s="309">
        <v>5021</v>
      </c>
      <c r="S34" s="60" t="s">
        <v>201</v>
      </c>
      <c r="T34" s="61">
        <v>130</v>
      </c>
      <c r="U34" s="60" t="s">
        <v>502</v>
      </c>
      <c r="V34" s="1">
        <v>3</v>
      </c>
      <c r="W34" s="1" t="s">
        <v>34</v>
      </c>
      <c r="X34" s="1" t="s">
        <v>1009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365">
        <v>0</v>
      </c>
      <c r="AE34" s="365">
        <v>0</v>
      </c>
      <c r="AF34" s="365">
        <v>0</v>
      </c>
      <c r="AG34" s="2">
        <v>0</v>
      </c>
      <c r="AH34" s="2">
        <v>-1240.46</v>
      </c>
      <c r="AI34" s="2">
        <v>-1316.11</v>
      </c>
      <c r="AJ34" s="2">
        <v>2556.57</v>
      </c>
      <c r="AK34" s="2">
        <v>-1171.6</v>
      </c>
      <c r="AL34" s="2">
        <v>-1639.34</v>
      </c>
      <c r="AM34" s="2">
        <v>-1058.45</v>
      </c>
      <c r="AN34" s="2">
        <v>6969.39</v>
      </c>
      <c r="AO34" s="2">
        <v>-539.79</v>
      </c>
      <c r="AP34" s="2">
        <v>-1585.15</v>
      </c>
      <c r="AQ34" s="2">
        <v>-1620.9</v>
      </c>
      <c r="AR34" s="2">
        <v>645.84</v>
      </c>
      <c r="AS34" s="2">
        <v>-1642.51</v>
      </c>
      <c r="AT34" s="2">
        <v>-1990.53</v>
      </c>
      <c r="AU34" s="2">
        <v>-731.71</v>
      </c>
      <c r="AV34" s="2">
        <v>4364.75</v>
      </c>
      <c r="AW34" s="1">
        <v>30</v>
      </c>
    </row>
    <row r="35" spans="1:49" ht="12.75">
      <c r="A35" s="5">
        <v>1410</v>
      </c>
      <c r="B35" s="2" t="s">
        <v>700</v>
      </c>
      <c r="C35" s="305">
        <v>66.43</v>
      </c>
      <c r="D35" s="305">
        <v>0</v>
      </c>
      <c r="E35" s="305">
        <v>816.19</v>
      </c>
      <c r="F35" s="305">
        <v>1000</v>
      </c>
      <c r="G35" s="305">
        <v>0</v>
      </c>
      <c r="H35" s="305">
        <v>800</v>
      </c>
      <c r="I35" s="305">
        <v>800</v>
      </c>
      <c r="J35" s="1" t="s">
        <v>701</v>
      </c>
      <c r="K35" s="3" t="s">
        <v>982</v>
      </c>
      <c r="L35" s="365">
        <v>44926</v>
      </c>
      <c r="M35" s="2">
        <v>1000</v>
      </c>
      <c r="N35" s="311">
        <v>140</v>
      </c>
      <c r="O35" s="310" t="s">
        <v>81</v>
      </c>
      <c r="P35" s="309">
        <v>40</v>
      </c>
      <c r="Q35" s="60" t="s">
        <v>456</v>
      </c>
      <c r="R35" s="309">
        <v>5021</v>
      </c>
      <c r="S35" s="60" t="s">
        <v>201</v>
      </c>
      <c r="T35" s="61">
        <v>130</v>
      </c>
      <c r="U35" s="60" t="s">
        <v>502</v>
      </c>
      <c r="V35" s="1">
        <v>3</v>
      </c>
      <c r="W35" s="1" t="s">
        <v>34</v>
      </c>
      <c r="X35" s="1" t="s">
        <v>1009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365">
        <v>0</v>
      </c>
      <c r="AE35" s="365">
        <v>0</v>
      </c>
      <c r="AF35" s="365">
        <v>0</v>
      </c>
      <c r="AG35" s="2">
        <v>0</v>
      </c>
      <c r="AH35" s="2">
        <v>0</v>
      </c>
      <c r="AI35" s="2">
        <v>-16.19</v>
      </c>
      <c r="AJ35" s="2">
        <v>816.19</v>
      </c>
      <c r="AK35" s="2">
        <v>-40.56</v>
      </c>
      <c r="AL35" s="2">
        <v>0</v>
      </c>
      <c r="AM35" s="2">
        <v>-156.92</v>
      </c>
      <c r="AN35" s="2">
        <v>-2.52</v>
      </c>
      <c r="AO35" s="2">
        <v>-5.28</v>
      </c>
      <c r="AP35" s="2">
        <v>-5.28</v>
      </c>
      <c r="AQ35" s="2">
        <v>-5.54</v>
      </c>
      <c r="AR35" s="2">
        <v>316.1</v>
      </c>
      <c r="AS35" s="2">
        <v>-16.62</v>
      </c>
      <c r="AT35" s="2">
        <v>88.97</v>
      </c>
      <c r="AU35" s="2">
        <v>-38.78</v>
      </c>
      <c r="AV35" s="2">
        <v>66.43</v>
      </c>
      <c r="AW35" s="1">
        <v>31</v>
      </c>
    </row>
    <row r="36" spans="1:49" ht="12.75">
      <c r="A36" s="5">
        <v>1410</v>
      </c>
      <c r="B36" s="2" t="s">
        <v>702</v>
      </c>
      <c r="C36" s="305">
        <v>-9938.07</v>
      </c>
      <c r="D36" s="305">
        <v>0</v>
      </c>
      <c r="E36" s="305">
        <v>38325.89</v>
      </c>
      <c r="F36" s="305">
        <v>21200</v>
      </c>
      <c r="G36" s="305">
        <v>0</v>
      </c>
      <c r="H36" s="305">
        <v>28900</v>
      </c>
      <c r="I36" s="305">
        <v>28900</v>
      </c>
      <c r="J36" s="1" t="s">
        <v>703</v>
      </c>
      <c r="K36" s="3" t="s">
        <v>982</v>
      </c>
      <c r="L36" s="365">
        <v>44926</v>
      </c>
      <c r="M36" s="2">
        <v>21200</v>
      </c>
      <c r="N36" s="311">
        <v>140</v>
      </c>
      <c r="O36" s="310" t="s">
        <v>81</v>
      </c>
      <c r="P36" s="309">
        <v>40</v>
      </c>
      <c r="Q36" s="60" t="s">
        <v>456</v>
      </c>
      <c r="R36" s="309">
        <v>5025</v>
      </c>
      <c r="S36" s="60" t="s">
        <v>204</v>
      </c>
      <c r="T36" s="61">
        <v>140</v>
      </c>
      <c r="U36" s="60" t="s">
        <v>504</v>
      </c>
      <c r="V36" s="1">
        <v>3</v>
      </c>
      <c r="W36" s="1" t="s">
        <v>34</v>
      </c>
      <c r="X36" s="1" t="s">
        <v>1010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365">
        <v>0</v>
      </c>
      <c r="AE36" s="365">
        <v>0</v>
      </c>
      <c r="AF36" s="365">
        <v>0</v>
      </c>
      <c r="AG36" s="2">
        <v>0</v>
      </c>
      <c r="AH36" s="2">
        <v>-13164.37</v>
      </c>
      <c r="AI36" s="2">
        <v>3738.48</v>
      </c>
      <c r="AJ36" s="2">
        <v>38325.89</v>
      </c>
      <c r="AK36" s="2">
        <v>-8922.01</v>
      </c>
      <c r="AL36" s="2">
        <v>-778.56</v>
      </c>
      <c r="AM36" s="2">
        <v>-150.94</v>
      </c>
      <c r="AN36" s="2">
        <v>977.87</v>
      </c>
      <c r="AO36" s="2">
        <v>-6118.21</v>
      </c>
      <c r="AP36" s="2">
        <v>304.78</v>
      </c>
      <c r="AQ36" s="2">
        <v>-5195.61</v>
      </c>
      <c r="AR36" s="2">
        <v>12282.68</v>
      </c>
      <c r="AS36" s="2">
        <v>3865.66</v>
      </c>
      <c r="AT36" s="2">
        <v>-4135.34</v>
      </c>
      <c r="AU36" s="2">
        <v>10107.75</v>
      </c>
      <c r="AV36" s="2">
        <v>-9938.07</v>
      </c>
      <c r="AW36" s="1">
        <v>32</v>
      </c>
    </row>
    <row r="37" spans="1:49" ht="12.75">
      <c r="A37" s="5">
        <v>1410</v>
      </c>
      <c r="B37" s="2" t="s">
        <v>704</v>
      </c>
      <c r="C37" s="305">
        <v>-2128.62</v>
      </c>
      <c r="D37" s="305">
        <v>0</v>
      </c>
      <c r="E37" s="305">
        <v>13.43</v>
      </c>
      <c r="F37" s="305">
        <v>0</v>
      </c>
      <c r="G37" s="305">
        <v>0</v>
      </c>
      <c r="H37" s="305">
        <v>0</v>
      </c>
      <c r="I37" s="305">
        <v>0</v>
      </c>
      <c r="J37" s="1" t="s">
        <v>705</v>
      </c>
      <c r="K37" s="3" t="s">
        <v>982</v>
      </c>
      <c r="L37" s="365">
        <v>44926</v>
      </c>
      <c r="M37" s="2">
        <v>0</v>
      </c>
      <c r="N37" s="311">
        <v>140</v>
      </c>
      <c r="O37" s="310" t="s">
        <v>81</v>
      </c>
      <c r="P37" s="309">
        <v>40</v>
      </c>
      <c r="Q37" s="60" t="s">
        <v>456</v>
      </c>
      <c r="R37" s="309">
        <v>5025</v>
      </c>
      <c r="S37" s="60" t="s">
        <v>204</v>
      </c>
      <c r="T37" s="61">
        <v>140</v>
      </c>
      <c r="U37" s="60" t="s">
        <v>504</v>
      </c>
      <c r="V37" s="1">
        <v>3</v>
      </c>
      <c r="W37" s="1" t="s">
        <v>34</v>
      </c>
      <c r="X37" s="1" t="s">
        <v>1010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365">
        <v>0</v>
      </c>
      <c r="AE37" s="365">
        <v>0</v>
      </c>
      <c r="AF37" s="365">
        <v>0</v>
      </c>
      <c r="AG37" s="2">
        <v>0</v>
      </c>
      <c r="AH37" s="2">
        <v>-93.1</v>
      </c>
      <c r="AI37" s="2">
        <v>79.67</v>
      </c>
      <c r="AJ37" s="2">
        <v>13.43</v>
      </c>
      <c r="AK37" s="2">
        <v>66.37</v>
      </c>
      <c r="AL37" s="2">
        <v>-40.77</v>
      </c>
      <c r="AM37" s="2">
        <v>122.54</v>
      </c>
      <c r="AN37" s="2">
        <v>18.23</v>
      </c>
      <c r="AO37" s="2">
        <v>-149.49</v>
      </c>
      <c r="AP37" s="2">
        <v>27.41</v>
      </c>
      <c r="AQ37" s="2">
        <v>-118.16</v>
      </c>
      <c r="AR37" s="2">
        <v>2273.87</v>
      </c>
      <c r="AS37" s="2">
        <v>-53.2</v>
      </c>
      <c r="AT37" s="2">
        <v>101.52</v>
      </c>
      <c r="AU37" s="2">
        <v>-119.7</v>
      </c>
      <c r="AV37" s="2">
        <v>-2128.62</v>
      </c>
      <c r="AW37" s="1">
        <v>33</v>
      </c>
    </row>
    <row r="38" spans="1:49" ht="12.75">
      <c r="A38" s="5">
        <v>1410</v>
      </c>
      <c r="B38" s="2" t="s">
        <v>706</v>
      </c>
      <c r="C38" s="305">
        <v>-1621.37</v>
      </c>
      <c r="D38" s="305">
        <v>0</v>
      </c>
      <c r="E38" s="305">
        <v>7984.91</v>
      </c>
      <c r="F38" s="305">
        <v>2600</v>
      </c>
      <c r="G38" s="305">
        <v>0</v>
      </c>
      <c r="H38" s="305">
        <v>0</v>
      </c>
      <c r="I38" s="305">
        <v>0</v>
      </c>
      <c r="J38" s="1" t="s">
        <v>707</v>
      </c>
      <c r="K38" s="3" t="s">
        <v>982</v>
      </c>
      <c r="L38" s="365">
        <v>44926</v>
      </c>
      <c r="M38" s="2">
        <v>2600</v>
      </c>
      <c r="N38" s="311">
        <v>140</v>
      </c>
      <c r="O38" s="310" t="s">
        <v>81</v>
      </c>
      <c r="P38" s="309">
        <v>40</v>
      </c>
      <c r="Q38" s="60" t="s">
        <v>456</v>
      </c>
      <c r="R38" s="309">
        <v>5025</v>
      </c>
      <c r="S38" s="60" t="s">
        <v>204</v>
      </c>
      <c r="T38" s="61">
        <v>140</v>
      </c>
      <c r="U38" s="60" t="s">
        <v>504</v>
      </c>
      <c r="V38" s="1">
        <v>3</v>
      </c>
      <c r="W38" s="1" t="s">
        <v>34</v>
      </c>
      <c r="X38" s="1" t="s">
        <v>1011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365">
        <v>0</v>
      </c>
      <c r="AE38" s="365">
        <v>0</v>
      </c>
      <c r="AF38" s="365">
        <v>0</v>
      </c>
      <c r="AG38" s="2">
        <v>0</v>
      </c>
      <c r="AH38" s="2">
        <v>-8840.53</v>
      </c>
      <c r="AI38" s="2">
        <v>855.62</v>
      </c>
      <c r="AJ38" s="2">
        <v>7984.91</v>
      </c>
      <c r="AK38" s="2">
        <v>-4014.9</v>
      </c>
      <c r="AL38" s="2">
        <v>2737.11</v>
      </c>
      <c r="AM38" s="2">
        <v>1494.78</v>
      </c>
      <c r="AN38" s="2">
        <v>1087.14</v>
      </c>
      <c r="AO38" s="2">
        <v>-2466.46</v>
      </c>
      <c r="AP38" s="2">
        <v>-96.98</v>
      </c>
      <c r="AQ38" s="2">
        <v>-1109.24</v>
      </c>
      <c r="AR38" s="2">
        <v>3968.55</v>
      </c>
      <c r="AS38" s="2">
        <v>1744.69</v>
      </c>
      <c r="AT38" s="2">
        <v>2079.75</v>
      </c>
      <c r="AU38" s="2">
        <v>-1203.07</v>
      </c>
      <c r="AV38" s="2">
        <v>-1621.37</v>
      </c>
      <c r="AW38" s="1">
        <v>34</v>
      </c>
    </row>
    <row r="39" spans="1:49" ht="12.75">
      <c r="A39" s="5">
        <v>1410</v>
      </c>
      <c r="B39" s="2" t="s">
        <v>708</v>
      </c>
      <c r="C39" s="305">
        <v>-1535.35</v>
      </c>
      <c r="D39" s="305">
        <v>0</v>
      </c>
      <c r="E39" s="305">
        <v>1888.88</v>
      </c>
      <c r="F39" s="305">
        <v>0</v>
      </c>
      <c r="G39" s="305">
        <v>0</v>
      </c>
      <c r="H39" s="305">
        <v>0</v>
      </c>
      <c r="I39" s="305">
        <v>0</v>
      </c>
      <c r="J39" s="1" t="s">
        <v>709</v>
      </c>
      <c r="K39" s="3" t="s">
        <v>982</v>
      </c>
      <c r="L39" s="365">
        <v>44926</v>
      </c>
      <c r="M39" s="2">
        <v>0</v>
      </c>
      <c r="N39" s="311">
        <v>140</v>
      </c>
      <c r="O39" s="310" t="s">
        <v>81</v>
      </c>
      <c r="P39" s="309">
        <v>40</v>
      </c>
      <c r="Q39" s="60" t="s">
        <v>456</v>
      </c>
      <c r="R39" s="309">
        <v>5025</v>
      </c>
      <c r="S39" s="60" t="s">
        <v>204</v>
      </c>
      <c r="T39" s="61">
        <v>140</v>
      </c>
      <c r="U39" s="60" t="s">
        <v>504</v>
      </c>
      <c r="V39" s="1">
        <v>3</v>
      </c>
      <c r="W39" s="1" t="s">
        <v>34</v>
      </c>
      <c r="X39" s="1" t="s">
        <v>1012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365">
        <v>0</v>
      </c>
      <c r="AE39" s="365">
        <v>0</v>
      </c>
      <c r="AF39" s="365">
        <v>0</v>
      </c>
      <c r="AG39" s="2">
        <v>0</v>
      </c>
      <c r="AH39" s="2">
        <v>-2166.27</v>
      </c>
      <c r="AI39" s="2">
        <v>277.39</v>
      </c>
      <c r="AJ39" s="2">
        <v>1888.88</v>
      </c>
      <c r="AK39" s="2">
        <v>492.59</v>
      </c>
      <c r="AL39" s="2">
        <v>-450.21</v>
      </c>
      <c r="AM39" s="2">
        <v>996.34</v>
      </c>
      <c r="AN39" s="2">
        <v>1081.65</v>
      </c>
      <c r="AO39" s="2">
        <v>-899.29</v>
      </c>
      <c r="AP39" s="2">
        <v>587.03</v>
      </c>
      <c r="AQ39" s="2">
        <v>1804.08</v>
      </c>
      <c r="AR39" s="2">
        <v>-3612.19</v>
      </c>
      <c r="AS39" s="2">
        <v>564.51</v>
      </c>
      <c r="AT39" s="2">
        <v>405.15</v>
      </c>
      <c r="AU39" s="2">
        <v>565.69</v>
      </c>
      <c r="AV39" s="2">
        <v>-1535.35</v>
      </c>
      <c r="AW39" s="1">
        <v>35</v>
      </c>
    </row>
    <row r="40" spans="1:49" ht="12.75">
      <c r="A40" s="5">
        <v>1410</v>
      </c>
      <c r="B40" s="2" t="s">
        <v>710</v>
      </c>
      <c r="C40" s="305">
        <v>-674.75</v>
      </c>
      <c r="D40" s="305">
        <v>0</v>
      </c>
      <c r="E40" s="305">
        <v>5085.48</v>
      </c>
      <c r="F40" s="305">
        <v>300</v>
      </c>
      <c r="G40" s="305">
        <v>0</v>
      </c>
      <c r="H40" s="305">
        <v>0</v>
      </c>
      <c r="I40" s="305">
        <v>0</v>
      </c>
      <c r="J40" s="1" t="s">
        <v>711</v>
      </c>
      <c r="K40" s="3" t="s">
        <v>982</v>
      </c>
      <c r="L40" s="365">
        <v>44926</v>
      </c>
      <c r="M40" s="2">
        <v>300</v>
      </c>
      <c r="N40" s="311">
        <v>140</v>
      </c>
      <c r="O40" s="310" t="s">
        <v>81</v>
      </c>
      <c r="P40" s="309">
        <v>40</v>
      </c>
      <c r="Q40" s="60" t="s">
        <v>456</v>
      </c>
      <c r="R40" s="309">
        <v>5025</v>
      </c>
      <c r="S40" s="60" t="s">
        <v>204</v>
      </c>
      <c r="T40" s="61">
        <v>140</v>
      </c>
      <c r="U40" s="60" t="s">
        <v>504</v>
      </c>
      <c r="V40" s="1">
        <v>3</v>
      </c>
      <c r="W40" s="1" t="s">
        <v>34</v>
      </c>
      <c r="X40" s="1" t="s">
        <v>1013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365">
        <v>0</v>
      </c>
      <c r="AE40" s="365">
        <v>0</v>
      </c>
      <c r="AF40" s="365">
        <v>0</v>
      </c>
      <c r="AG40" s="2">
        <v>0</v>
      </c>
      <c r="AH40" s="2">
        <v>-5817.57</v>
      </c>
      <c r="AI40" s="2">
        <v>732.09</v>
      </c>
      <c r="AJ40" s="2">
        <v>5085.48</v>
      </c>
      <c r="AK40" s="2">
        <v>1.35</v>
      </c>
      <c r="AL40" s="2">
        <v>1214.14</v>
      </c>
      <c r="AM40" s="2">
        <v>2956.73</v>
      </c>
      <c r="AN40" s="2">
        <v>324.81</v>
      </c>
      <c r="AO40" s="2">
        <v>448.96</v>
      </c>
      <c r="AP40" s="2">
        <v>-4356.96</v>
      </c>
      <c r="AQ40" s="2">
        <v>-3918.94</v>
      </c>
      <c r="AR40" s="2">
        <v>6229.91</v>
      </c>
      <c r="AS40" s="2">
        <v>-2144.97</v>
      </c>
      <c r="AT40" s="2">
        <v>590.72</v>
      </c>
      <c r="AU40" s="2">
        <v>-371</v>
      </c>
      <c r="AV40" s="2">
        <v>-674.75</v>
      </c>
      <c r="AW40" s="1">
        <v>36</v>
      </c>
    </row>
    <row r="41" spans="1:49" ht="12.75">
      <c r="A41" s="5">
        <v>1410</v>
      </c>
      <c r="B41" s="2" t="s">
        <v>712</v>
      </c>
      <c r="C41" s="305">
        <v>0</v>
      </c>
      <c r="D41" s="305">
        <v>0</v>
      </c>
      <c r="E41" s="305">
        <v>-8970.92</v>
      </c>
      <c r="F41" s="305">
        <v>0</v>
      </c>
      <c r="G41" s="305">
        <v>0</v>
      </c>
      <c r="H41" s="305">
        <v>0</v>
      </c>
      <c r="I41" s="305">
        <v>0</v>
      </c>
      <c r="J41" s="1" t="s">
        <v>713</v>
      </c>
      <c r="K41" s="3" t="s">
        <v>982</v>
      </c>
      <c r="L41" s="365">
        <v>44561</v>
      </c>
      <c r="M41" s="2">
        <v>0</v>
      </c>
      <c r="N41" s="311">
        <v>140</v>
      </c>
      <c r="O41" s="310" t="s">
        <v>81</v>
      </c>
      <c r="P41" s="309">
        <v>40</v>
      </c>
      <c r="Q41" s="60" t="s">
        <v>456</v>
      </c>
      <c r="R41" s="309">
        <v>5014</v>
      </c>
      <c r="S41" s="60" t="s">
        <v>211</v>
      </c>
      <c r="T41" s="61">
        <v>200</v>
      </c>
      <c r="U41" s="60" t="s">
        <v>499</v>
      </c>
      <c r="V41" s="1">
        <v>3</v>
      </c>
      <c r="W41" s="1" t="s">
        <v>34</v>
      </c>
      <c r="X41" s="1" t="s">
        <v>1014</v>
      </c>
      <c r="Y41" s="2">
        <v>0</v>
      </c>
      <c r="Z41" s="2">
        <v>0</v>
      </c>
      <c r="AA41" s="2">
        <v>0</v>
      </c>
      <c r="AB41" s="2">
        <v>0</v>
      </c>
      <c r="AC41" s="2">
        <v>500.4</v>
      </c>
      <c r="AD41" s="365">
        <v>0</v>
      </c>
      <c r="AE41" s="365">
        <v>0</v>
      </c>
      <c r="AF41" s="365">
        <v>-643.61</v>
      </c>
      <c r="AG41" s="2">
        <v>9114.13</v>
      </c>
      <c r="AH41" s="2">
        <v>0</v>
      </c>
      <c r="AI41" s="2">
        <v>0</v>
      </c>
      <c r="AJ41" s="2">
        <v>-8970.92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1">
        <v>37</v>
      </c>
    </row>
    <row r="42" spans="1:49" ht="12.75">
      <c r="A42" s="5">
        <v>1410</v>
      </c>
      <c r="B42" s="2" t="s">
        <v>1015</v>
      </c>
      <c r="C42" s="305">
        <v>0</v>
      </c>
      <c r="D42" s="305">
        <v>0</v>
      </c>
      <c r="E42" s="305">
        <v>-496.69</v>
      </c>
      <c r="F42" s="305">
        <v>0</v>
      </c>
      <c r="G42" s="305">
        <v>0</v>
      </c>
      <c r="H42" s="305">
        <v>0</v>
      </c>
      <c r="I42" s="305">
        <v>0</v>
      </c>
      <c r="J42" s="1" t="s">
        <v>600</v>
      </c>
      <c r="K42" s="3" t="s">
        <v>982</v>
      </c>
      <c r="L42" s="365">
        <v>44561</v>
      </c>
      <c r="M42" s="2">
        <v>0</v>
      </c>
      <c r="N42" s="311">
        <v>140</v>
      </c>
      <c r="O42" s="310" t="s">
        <v>81</v>
      </c>
      <c r="P42" s="309">
        <v>10</v>
      </c>
      <c r="Q42" s="60" t="s">
        <v>454</v>
      </c>
      <c r="R42" s="309">
        <v>1001</v>
      </c>
      <c r="S42" s="60" t="s">
        <v>455</v>
      </c>
      <c r="T42" s="61">
        <v>110</v>
      </c>
      <c r="U42" s="60" t="s">
        <v>495</v>
      </c>
      <c r="V42" s="1">
        <v>3</v>
      </c>
      <c r="W42" s="1" t="s">
        <v>34</v>
      </c>
      <c r="X42" s="1" t="s">
        <v>1002</v>
      </c>
      <c r="Y42" s="2">
        <v>496.69</v>
      </c>
      <c r="Z42" s="2">
        <v>0</v>
      </c>
      <c r="AA42" s="2">
        <v>0</v>
      </c>
      <c r="AB42" s="2">
        <v>0</v>
      </c>
      <c r="AC42" s="2">
        <v>0</v>
      </c>
      <c r="AD42" s="365">
        <v>0</v>
      </c>
      <c r="AE42" s="365">
        <v>0</v>
      </c>
      <c r="AF42" s="365">
        <v>0</v>
      </c>
      <c r="AG42" s="2">
        <v>0</v>
      </c>
      <c r="AH42" s="2">
        <v>0</v>
      </c>
      <c r="AI42" s="2">
        <v>0</v>
      </c>
      <c r="AJ42" s="2">
        <v>-496.69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1">
        <v>38</v>
      </c>
    </row>
    <row r="43" spans="1:49" ht="12.75">
      <c r="A43" s="5">
        <v>1410</v>
      </c>
      <c r="B43" s="2" t="s">
        <v>714</v>
      </c>
      <c r="C43" s="305">
        <v>1665.57</v>
      </c>
      <c r="D43" s="305">
        <v>0</v>
      </c>
      <c r="E43" s="305">
        <v>24678.47</v>
      </c>
      <c r="F43" s="305">
        <v>15500</v>
      </c>
      <c r="G43" s="305">
        <v>0</v>
      </c>
      <c r="H43" s="305">
        <v>12600</v>
      </c>
      <c r="I43" s="305">
        <v>12600</v>
      </c>
      <c r="J43" s="1" t="s">
        <v>715</v>
      </c>
      <c r="K43" s="3" t="s">
        <v>982</v>
      </c>
      <c r="L43" s="365">
        <v>44926</v>
      </c>
      <c r="M43" s="2">
        <v>15500</v>
      </c>
      <c r="N43" s="311">
        <v>140</v>
      </c>
      <c r="O43" s="310" t="s">
        <v>81</v>
      </c>
      <c r="P43" s="309">
        <v>40</v>
      </c>
      <c r="Q43" s="60" t="s">
        <v>456</v>
      </c>
      <c r="R43" s="309">
        <v>5027</v>
      </c>
      <c r="S43" s="60" t="s">
        <v>206</v>
      </c>
      <c r="T43" s="61">
        <v>160</v>
      </c>
      <c r="U43" s="60" t="s">
        <v>716</v>
      </c>
      <c r="V43" s="1">
        <v>3</v>
      </c>
      <c r="W43" s="1" t="s">
        <v>34</v>
      </c>
      <c r="X43" s="1" t="s">
        <v>1016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365">
        <v>0</v>
      </c>
      <c r="AE43" s="365">
        <v>0</v>
      </c>
      <c r="AF43" s="365">
        <v>0</v>
      </c>
      <c r="AG43" s="2">
        <v>0</v>
      </c>
      <c r="AH43" s="2">
        <v>-9941.35</v>
      </c>
      <c r="AI43" s="2">
        <v>-2137.12</v>
      </c>
      <c r="AJ43" s="2">
        <v>24678.47</v>
      </c>
      <c r="AK43" s="2">
        <v>-1820.3</v>
      </c>
      <c r="AL43" s="2">
        <v>-715.64</v>
      </c>
      <c r="AM43" s="2">
        <v>978.67</v>
      </c>
      <c r="AN43" s="2">
        <v>-1609.67</v>
      </c>
      <c r="AO43" s="2">
        <v>787.49</v>
      </c>
      <c r="AP43" s="2">
        <v>-933.45</v>
      </c>
      <c r="AQ43" s="2">
        <v>-15337.34</v>
      </c>
      <c r="AR43" s="2">
        <v>20650.24</v>
      </c>
      <c r="AS43" s="2">
        <v>-4842.73</v>
      </c>
      <c r="AT43" s="2">
        <v>547.54</v>
      </c>
      <c r="AU43" s="2">
        <v>3529.62</v>
      </c>
      <c r="AV43" s="2">
        <v>1665.57</v>
      </c>
      <c r="AW43" s="1">
        <v>39</v>
      </c>
    </row>
    <row r="44" spans="1:49" ht="12.75">
      <c r="A44" s="5">
        <v>1410</v>
      </c>
      <c r="B44" s="2" t="s">
        <v>717</v>
      </c>
      <c r="C44" s="305">
        <v>-13184.9</v>
      </c>
      <c r="D44" s="305">
        <v>0</v>
      </c>
      <c r="E44" s="305">
        <v>12817.95</v>
      </c>
      <c r="F44" s="305">
        <v>14500</v>
      </c>
      <c r="G44" s="305">
        <v>0</v>
      </c>
      <c r="H44" s="305">
        <v>8800</v>
      </c>
      <c r="I44" s="305">
        <v>8800</v>
      </c>
      <c r="J44" s="1" t="s">
        <v>718</v>
      </c>
      <c r="K44" s="3" t="s">
        <v>982</v>
      </c>
      <c r="L44" s="365">
        <v>44926</v>
      </c>
      <c r="M44" s="2">
        <v>14500</v>
      </c>
      <c r="N44" s="311">
        <v>140</v>
      </c>
      <c r="O44" s="310" t="s">
        <v>81</v>
      </c>
      <c r="P44" s="309">
        <v>40</v>
      </c>
      <c r="Q44" s="60" t="s">
        <v>456</v>
      </c>
      <c r="R44" s="309">
        <v>5027</v>
      </c>
      <c r="S44" s="60" t="s">
        <v>206</v>
      </c>
      <c r="T44" s="61">
        <v>160</v>
      </c>
      <c r="U44" s="60" t="s">
        <v>716</v>
      </c>
      <c r="V44" s="1">
        <v>3</v>
      </c>
      <c r="W44" s="1" t="s">
        <v>34</v>
      </c>
      <c r="X44" s="1" t="s">
        <v>1016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365">
        <v>0</v>
      </c>
      <c r="AE44" s="365">
        <v>0</v>
      </c>
      <c r="AF44" s="365">
        <v>0</v>
      </c>
      <c r="AG44" s="2">
        <v>0</v>
      </c>
      <c r="AH44" s="2">
        <v>-7133.46</v>
      </c>
      <c r="AI44" s="2">
        <v>3115.51</v>
      </c>
      <c r="AJ44" s="2">
        <v>12817.95</v>
      </c>
      <c r="AK44" s="2">
        <v>-2276.45</v>
      </c>
      <c r="AL44" s="2">
        <v>13767.71</v>
      </c>
      <c r="AM44" s="2">
        <v>-1004.25</v>
      </c>
      <c r="AN44" s="2">
        <v>777.47</v>
      </c>
      <c r="AO44" s="2">
        <v>-122.8</v>
      </c>
      <c r="AP44" s="2">
        <v>-20.85</v>
      </c>
      <c r="AQ44" s="2">
        <v>8360.9</v>
      </c>
      <c r="AR44" s="2">
        <v>-17381.73</v>
      </c>
      <c r="AS44" s="2">
        <v>7452.48</v>
      </c>
      <c r="AT44" s="2">
        <v>3051.26</v>
      </c>
      <c r="AU44" s="2">
        <v>6281.16</v>
      </c>
      <c r="AV44" s="2">
        <v>-13184.9</v>
      </c>
      <c r="AW44" s="1">
        <v>40</v>
      </c>
    </row>
    <row r="45" spans="1:49" ht="12.75">
      <c r="A45" s="5">
        <v>1410</v>
      </c>
      <c r="B45" s="2" t="s">
        <v>719</v>
      </c>
      <c r="C45" s="305">
        <v>-4359.15</v>
      </c>
      <c r="D45" s="305">
        <v>0</v>
      </c>
      <c r="E45" s="305">
        <v>23021.12</v>
      </c>
      <c r="F45" s="305">
        <v>4800</v>
      </c>
      <c r="G45" s="305">
        <v>0</v>
      </c>
      <c r="H45" s="305">
        <v>20000</v>
      </c>
      <c r="I45" s="305">
        <v>20000</v>
      </c>
      <c r="J45" s="1" t="s">
        <v>720</v>
      </c>
      <c r="K45" s="3" t="s">
        <v>982</v>
      </c>
      <c r="L45" s="365">
        <v>44926</v>
      </c>
      <c r="M45" s="2">
        <v>4800</v>
      </c>
      <c r="N45" s="311">
        <v>140</v>
      </c>
      <c r="O45" s="310" t="s">
        <v>81</v>
      </c>
      <c r="P45" s="309">
        <v>40</v>
      </c>
      <c r="Q45" s="60" t="s">
        <v>456</v>
      </c>
      <c r="R45" s="309">
        <v>5027</v>
      </c>
      <c r="S45" s="60" t="s">
        <v>206</v>
      </c>
      <c r="T45" s="61">
        <v>160</v>
      </c>
      <c r="U45" s="60" t="s">
        <v>716</v>
      </c>
      <c r="V45" s="1">
        <v>3</v>
      </c>
      <c r="W45" s="1" t="s">
        <v>34</v>
      </c>
      <c r="X45" s="1" t="s">
        <v>1017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365">
        <v>0</v>
      </c>
      <c r="AE45" s="365">
        <v>0</v>
      </c>
      <c r="AF45" s="365">
        <v>0</v>
      </c>
      <c r="AG45" s="2">
        <v>0</v>
      </c>
      <c r="AH45" s="2">
        <v>-2686.24</v>
      </c>
      <c r="AI45" s="2">
        <v>-334.88</v>
      </c>
      <c r="AJ45" s="2">
        <v>23021.12</v>
      </c>
      <c r="AK45" s="2">
        <v>-1589.97</v>
      </c>
      <c r="AL45" s="2">
        <v>200.19</v>
      </c>
      <c r="AM45" s="2">
        <v>-3659.62</v>
      </c>
      <c r="AN45" s="2">
        <v>-1888.93</v>
      </c>
      <c r="AO45" s="2">
        <v>-1349.37</v>
      </c>
      <c r="AP45" s="2">
        <v>362.24</v>
      </c>
      <c r="AQ45" s="2">
        <v>983.46</v>
      </c>
      <c r="AR45" s="2">
        <v>-5458</v>
      </c>
      <c r="AS45" s="2">
        <v>584.94</v>
      </c>
      <c r="AT45" s="2">
        <v>-1176.8</v>
      </c>
      <c r="AU45" s="2">
        <v>2151.01</v>
      </c>
      <c r="AV45" s="2">
        <v>-4359.15</v>
      </c>
      <c r="AW45" s="1">
        <v>41</v>
      </c>
    </row>
    <row r="46" spans="1:49" ht="12.75">
      <c r="A46" s="5">
        <v>1410</v>
      </c>
      <c r="B46" s="2" t="s">
        <v>721</v>
      </c>
      <c r="C46" s="305">
        <v>5566.92</v>
      </c>
      <c r="D46" s="305">
        <v>0</v>
      </c>
      <c r="E46" s="305">
        <v>54198.16</v>
      </c>
      <c r="F46" s="305">
        <v>16300</v>
      </c>
      <c r="G46" s="305">
        <v>0</v>
      </c>
      <c r="H46" s="305">
        <v>25800</v>
      </c>
      <c r="I46" s="305">
        <v>25800</v>
      </c>
      <c r="J46" s="1" t="s">
        <v>722</v>
      </c>
      <c r="K46" s="3" t="s">
        <v>982</v>
      </c>
      <c r="L46" s="365">
        <v>44926</v>
      </c>
      <c r="M46" s="2">
        <v>16300</v>
      </c>
      <c r="N46" s="311">
        <v>140</v>
      </c>
      <c r="O46" s="310" t="s">
        <v>81</v>
      </c>
      <c r="P46" s="309">
        <v>40</v>
      </c>
      <c r="Q46" s="60" t="s">
        <v>456</v>
      </c>
      <c r="R46" s="309">
        <v>5027</v>
      </c>
      <c r="S46" s="60" t="s">
        <v>206</v>
      </c>
      <c r="T46" s="61">
        <v>160</v>
      </c>
      <c r="U46" s="60" t="s">
        <v>716</v>
      </c>
      <c r="V46" s="1">
        <v>3</v>
      </c>
      <c r="W46" s="1" t="s">
        <v>34</v>
      </c>
      <c r="X46" s="1" t="s">
        <v>1016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365">
        <v>0</v>
      </c>
      <c r="AE46" s="365">
        <v>0</v>
      </c>
      <c r="AF46" s="365">
        <v>0</v>
      </c>
      <c r="AG46" s="2">
        <v>0</v>
      </c>
      <c r="AH46" s="2">
        <v>-18162.19</v>
      </c>
      <c r="AI46" s="2">
        <v>-10235.97</v>
      </c>
      <c r="AJ46" s="2">
        <v>54198.16</v>
      </c>
      <c r="AK46" s="2">
        <v>-11576.92</v>
      </c>
      <c r="AL46" s="2">
        <v>-6458.75</v>
      </c>
      <c r="AM46" s="2">
        <v>18854.01</v>
      </c>
      <c r="AN46" s="2">
        <v>-10328.18</v>
      </c>
      <c r="AO46" s="2">
        <v>-6186.51</v>
      </c>
      <c r="AP46" s="2">
        <v>4355.91</v>
      </c>
      <c r="AQ46" s="2">
        <v>-8436.21</v>
      </c>
      <c r="AR46" s="2">
        <v>4176.65</v>
      </c>
      <c r="AS46" s="2">
        <v>-3231.65</v>
      </c>
      <c r="AT46" s="2">
        <v>5014.45</v>
      </c>
      <c r="AU46" s="2">
        <v>-1249.72</v>
      </c>
      <c r="AV46" s="2">
        <v>5566.92</v>
      </c>
      <c r="AW46" s="1">
        <v>42</v>
      </c>
    </row>
    <row r="47" spans="1:49" ht="12.75">
      <c r="A47" s="5">
        <v>1410</v>
      </c>
      <c r="B47" s="2" t="s">
        <v>723</v>
      </c>
      <c r="C47" s="305">
        <v>-8747.93</v>
      </c>
      <c r="D47" s="305">
        <v>0</v>
      </c>
      <c r="E47" s="305">
        <v>13010.85</v>
      </c>
      <c r="F47" s="305">
        <v>6400</v>
      </c>
      <c r="G47" s="305">
        <v>0</v>
      </c>
      <c r="H47" s="305">
        <v>8600</v>
      </c>
      <c r="I47" s="305">
        <v>8600</v>
      </c>
      <c r="J47" s="1" t="s">
        <v>724</v>
      </c>
      <c r="K47" s="3" t="s">
        <v>982</v>
      </c>
      <c r="L47" s="365">
        <v>44926</v>
      </c>
      <c r="M47" s="2">
        <v>6400</v>
      </c>
      <c r="N47" s="311">
        <v>140</v>
      </c>
      <c r="O47" s="310" t="s">
        <v>81</v>
      </c>
      <c r="P47" s="309">
        <v>40</v>
      </c>
      <c r="Q47" s="60" t="s">
        <v>456</v>
      </c>
      <c r="R47" s="309">
        <v>5027</v>
      </c>
      <c r="S47" s="60" t="s">
        <v>206</v>
      </c>
      <c r="T47" s="61">
        <v>160</v>
      </c>
      <c r="U47" s="60" t="s">
        <v>716</v>
      </c>
      <c r="V47" s="1">
        <v>3</v>
      </c>
      <c r="W47" s="1" t="s">
        <v>34</v>
      </c>
      <c r="X47" s="1" t="s">
        <v>1018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365">
        <v>0</v>
      </c>
      <c r="AE47" s="365">
        <v>0</v>
      </c>
      <c r="AF47" s="365">
        <v>0</v>
      </c>
      <c r="AG47" s="2">
        <v>0</v>
      </c>
      <c r="AH47" s="2">
        <v>-5204.12</v>
      </c>
      <c r="AI47" s="2">
        <v>793.27</v>
      </c>
      <c r="AJ47" s="2">
        <v>13010.85</v>
      </c>
      <c r="AK47" s="2">
        <v>-1070.43</v>
      </c>
      <c r="AL47" s="2">
        <v>2138.95</v>
      </c>
      <c r="AM47" s="2">
        <v>3684.37</v>
      </c>
      <c r="AN47" s="2">
        <v>12185.57</v>
      </c>
      <c r="AO47" s="2">
        <v>-21061.29</v>
      </c>
      <c r="AP47" s="2">
        <v>-13346.38</v>
      </c>
      <c r="AQ47" s="2">
        <v>3396.13</v>
      </c>
      <c r="AR47" s="2">
        <v>17673.08</v>
      </c>
      <c r="AS47" s="2">
        <v>2190.05</v>
      </c>
      <c r="AT47" s="2">
        <v>-2534.64</v>
      </c>
      <c r="AU47" s="2">
        <v>3292.52</v>
      </c>
      <c r="AV47" s="2">
        <v>-8747.93</v>
      </c>
      <c r="AW47" s="1">
        <v>43</v>
      </c>
    </row>
    <row r="48" spans="1:49" ht="12.75">
      <c r="A48" s="5">
        <v>1410</v>
      </c>
      <c r="B48" s="2" t="s">
        <v>725</v>
      </c>
      <c r="C48" s="305">
        <v>0</v>
      </c>
      <c r="D48" s="305">
        <v>0</v>
      </c>
      <c r="E48" s="305">
        <v>793.21</v>
      </c>
      <c r="F48" s="305">
        <v>0</v>
      </c>
      <c r="G48" s="305">
        <v>0</v>
      </c>
      <c r="H48" s="305">
        <v>0</v>
      </c>
      <c r="I48" s="305">
        <v>0</v>
      </c>
      <c r="J48" s="1" t="s">
        <v>726</v>
      </c>
      <c r="K48" s="3" t="s">
        <v>982</v>
      </c>
      <c r="L48" s="365">
        <v>44804</v>
      </c>
      <c r="M48" s="2">
        <v>0</v>
      </c>
      <c r="N48" s="311">
        <v>140</v>
      </c>
      <c r="O48" s="310" t="s">
        <v>81</v>
      </c>
      <c r="P48" s="309">
        <v>40</v>
      </c>
      <c r="Q48" s="60" t="s">
        <v>456</v>
      </c>
      <c r="R48" s="309">
        <v>5027</v>
      </c>
      <c r="S48" s="60" t="s">
        <v>206</v>
      </c>
      <c r="T48" s="61">
        <v>160</v>
      </c>
      <c r="U48" s="60" t="s">
        <v>716</v>
      </c>
      <c r="V48" s="1">
        <v>3</v>
      </c>
      <c r="W48" s="1" t="s">
        <v>34</v>
      </c>
      <c r="X48" s="1" t="s">
        <v>1016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365">
        <v>0</v>
      </c>
      <c r="AE48" s="365">
        <v>0</v>
      </c>
      <c r="AF48" s="365">
        <v>0</v>
      </c>
      <c r="AG48" s="2">
        <v>0</v>
      </c>
      <c r="AH48" s="2">
        <v>-188.33</v>
      </c>
      <c r="AI48" s="2">
        <v>-604.88</v>
      </c>
      <c r="AJ48" s="2">
        <v>793.21</v>
      </c>
      <c r="AK48" s="2">
        <v>-267.48</v>
      </c>
      <c r="AL48" s="2">
        <v>-120.48</v>
      </c>
      <c r="AM48" s="2">
        <v>-120.48</v>
      </c>
      <c r="AN48" s="2">
        <v>-10.04</v>
      </c>
      <c r="AO48" s="2">
        <v>0</v>
      </c>
      <c r="AP48" s="2">
        <v>0</v>
      </c>
      <c r="AQ48" s="2">
        <v>0</v>
      </c>
      <c r="AR48" s="2">
        <v>518.48</v>
      </c>
      <c r="AS48" s="2">
        <v>0</v>
      </c>
      <c r="AT48" s="2">
        <v>0</v>
      </c>
      <c r="AU48" s="2">
        <v>0</v>
      </c>
      <c r="AV48" s="2">
        <v>0</v>
      </c>
      <c r="AW48" s="1">
        <v>44</v>
      </c>
    </row>
    <row r="49" spans="1:49" ht="12.75">
      <c r="A49" s="5">
        <v>1410</v>
      </c>
      <c r="B49" s="2" t="s">
        <v>727</v>
      </c>
      <c r="C49" s="305">
        <v>-32662.53</v>
      </c>
      <c r="D49" s="305">
        <v>0</v>
      </c>
      <c r="E49" s="305">
        <v>20121.76</v>
      </c>
      <c r="F49" s="305">
        <v>24500</v>
      </c>
      <c r="G49" s="305">
        <v>0</v>
      </c>
      <c r="H49" s="305">
        <v>20600</v>
      </c>
      <c r="I49" s="305">
        <v>20600</v>
      </c>
      <c r="J49" s="1" t="s">
        <v>728</v>
      </c>
      <c r="K49" s="3" t="s">
        <v>982</v>
      </c>
      <c r="L49" s="365">
        <v>44926</v>
      </c>
      <c r="M49" s="2">
        <v>24500</v>
      </c>
      <c r="N49" s="311">
        <v>140</v>
      </c>
      <c r="O49" s="310" t="s">
        <v>81</v>
      </c>
      <c r="P49" s="309">
        <v>40</v>
      </c>
      <c r="Q49" s="60" t="s">
        <v>456</v>
      </c>
      <c r="R49" s="309">
        <v>5029</v>
      </c>
      <c r="S49" s="60" t="s">
        <v>208</v>
      </c>
      <c r="T49" s="61">
        <v>170</v>
      </c>
      <c r="U49" s="60" t="s">
        <v>501</v>
      </c>
      <c r="V49" s="1">
        <v>3</v>
      </c>
      <c r="W49" s="1" t="s">
        <v>34</v>
      </c>
      <c r="X49" s="1" t="s">
        <v>1019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365">
        <v>0</v>
      </c>
      <c r="AE49" s="365">
        <v>0</v>
      </c>
      <c r="AF49" s="365">
        <v>0</v>
      </c>
      <c r="AG49" s="2">
        <v>0</v>
      </c>
      <c r="AH49" s="2">
        <v>-5125.32</v>
      </c>
      <c r="AI49" s="2">
        <v>5603.56</v>
      </c>
      <c r="AJ49" s="2">
        <v>20121.76</v>
      </c>
      <c r="AK49" s="2">
        <v>744.18</v>
      </c>
      <c r="AL49" s="2">
        <v>4256.57</v>
      </c>
      <c r="AM49" s="2">
        <v>-128.65</v>
      </c>
      <c r="AN49" s="2">
        <v>2458.61</v>
      </c>
      <c r="AO49" s="2">
        <v>2000.11</v>
      </c>
      <c r="AP49" s="2">
        <v>7650.26</v>
      </c>
      <c r="AQ49" s="2">
        <v>-617.76</v>
      </c>
      <c r="AR49" s="2">
        <v>6902.39</v>
      </c>
      <c r="AS49" s="2">
        <v>5082.11</v>
      </c>
      <c r="AT49" s="2">
        <v>3245.28</v>
      </c>
      <c r="AU49" s="2">
        <v>4969.43</v>
      </c>
      <c r="AV49" s="2">
        <v>-32662.53</v>
      </c>
      <c r="AW49" s="1">
        <v>45</v>
      </c>
    </row>
    <row r="50" spans="1:49" ht="12.75">
      <c r="A50" s="5">
        <v>1410</v>
      </c>
      <c r="B50" s="2" t="s">
        <v>729</v>
      </c>
      <c r="C50" s="305">
        <v>-3722.58</v>
      </c>
      <c r="D50" s="305">
        <v>0</v>
      </c>
      <c r="E50" s="305">
        <v>16036.77</v>
      </c>
      <c r="F50" s="305">
        <v>17800</v>
      </c>
      <c r="G50" s="305">
        <v>0</v>
      </c>
      <c r="H50" s="305">
        <v>14700</v>
      </c>
      <c r="I50" s="305">
        <v>14700</v>
      </c>
      <c r="J50" s="1" t="s">
        <v>730</v>
      </c>
      <c r="K50" s="3" t="s">
        <v>982</v>
      </c>
      <c r="L50" s="365">
        <v>44926</v>
      </c>
      <c r="M50" s="2">
        <v>17800</v>
      </c>
      <c r="N50" s="311">
        <v>140</v>
      </c>
      <c r="O50" s="310" t="s">
        <v>81</v>
      </c>
      <c r="P50" s="309">
        <v>40</v>
      </c>
      <c r="Q50" s="60" t="s">
        <v>456</v>
      </c>
      <c r="R50" s="309">
        <v>5028</v>
      </c>
      <c r="S50" s="60" t="s">
        <v>207</v>
      </c>
      <c r="T50" s="61">
        <v>170</v>
      </c>
      <c r="U50" s="60" t="s">
        <v>501</v>
      </c>
      <c r="V50" s="1">
        <v>3</v>
      </c>
      <c r="W50" s="1" t="s">
        <v>34</v>
      </c>
      <c r="X50" s="1" t="s">
        <v>1020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365">
        <v>0</v>
      </c>
      <c r="AE50" s="365">
        <v>0</v>
      </c>
      <c r="AF50" s="365">
        <v>0</v>
      </c>
      <c r="AG50" s="2">
        <v>0</v>
      </c>
      <c r="AH50" s="2">
        <v>-2307.27</v>
      </c>
      <c r="AI50" s="2">
        <v>970.5</v>
      </c>
      <c r="AJ50" s="2">
        <v>16036.77</v>
      </c>
      <c r="AK50" s="2">
        <v>45.82</v>
      </c>
      <c r="AL50" s="2">
        <v>333.73</v>
      </c>
      <c r="AM50" s="2">
        <v>467.42</v>
      </c>
      <c r="AN50" s="2">
        <v>1942.43</v>
      </c>
      <c r="AO50" s="2">
        <v>1356.43</v>
      </c>
      <c r="AP50" s="2">
        <v>1282.65</v>
      </c>
      <c r="AQ50" s="2">
        <v>-1837.8</v>
      </c>
      <c r="AR50" s="2">
        <v>765.3</v>
      </c>
      <c r="AS50" s="2">
        <v>-277.86</v>
      </c>
      <c r="AT50" s="2">
        <v>1320.48</v>
      </c>
      <c r="AU50" s="2">
        <v>1423.98</v>
      </c>
      <c r="AV50" s="2">
        <v>-3722.58</v>
      </c>
      <c r="AW50" s="1">
        <v>46</v>
      </c>
    </row>
    <row r="51" spans="1:49" ht="12.75">
      <c r="A51" s="5">
        <v>1410</v>
      </c>
      <c r="B51" s="2" t="s">
        <v>731</v>
      </c>
      <c r="C51" s="305">
        <v>4410.69</v>
      </c>
      <c r="D51" s="305">
        <v>0</v>
      </c>
      <c r="E51" s="305">
        <v>8930.35</v>
      </c>
      <c r="F51" s="305">
        <v>3900</v>
      </c>
      <c r="G51" s="305">
        <v>0</v>
      </c>
      <c r="H51" s="305">
        <v>7900</v>
      </c>
      <c r="I51" s="305">
        <v>7900</v>
      </c>
      <c r="J51" s="1" t="s">
        <v>732</v>
      </c>
      <c r="K51" s="3" t="s">
        <v>982</v>
      </c>
      <c r="L51" s="365">
        <v>44926</v>
      </c>
      <c r="M51" s="2">
        <v>3900</v>
      </c>
      <c r="N51" s="311">
        <v>140</v>
      </c>
      <c r="O51" s="310" t="s">
        <v>81</v>
      </c>
      <c r="P51" s="309">
        <v>40</v>
      </c>
      <c r="Q51" s="60" t="s">
        <v>456</v>
      </c>
      <c r="R51" s="309">
        <v>5028</v>
      </c>
      <c r="S51" s="60" t="s">
        <v>207</v>
      </c>
      <c r="T51" s="61">
        <v>170</v>
      </c>
      <c r="U51" s="60" t="s">
        <v>501</v>
      </c>
      <c r="V51" s="1">
        <v>3</v>
      </c>
      <c r="W51" s="1" t="s">
        <v>34</v>
      </c>
      <c r="X51" s="1" t="s">
        <v>1021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365">
        <v>0</v>
      </c>
      <c r="AE51" s="365">
        <v>0</v>
      </c>
      <c r="AF51" s="365">
        <v>0</v>
      </c>
      <c r="AG51" s="2">
        <v>0</v>
      </c>
      <c r="AH51" s="2">
        <v>-2787.22</v>
      </c>
      <c r="AI51" s="2">
        <v>1756.87</v>
      </c>
      <c r="AJ51" s="2">
        <v>8930.35</v>
      </c>
      <c r="AK51" s="2">
        <v>-3823.22</v>
      </c>
      <c r="AL51" s="2">
        <v>-2821.11</v>
      </c>
      <c r="AM51" s="2">
        <v>-776.58</v>
      </c>
      <c r="AN51" s="2">
        <v>291.4</v>
      </c>
      <c r="AO51" s="2">
        <v>-919.17</v>
      </c>
      <c r="AP51" s="2">
        <v>845.74</v>
      </c>
      <c r="AQ51" s="2">
        <v>-1321.6</v>
      </c>
      <c r="AR51" s="2">
        <v>606.13</v>
      </c>
      <c r="AS51" s="2">
        <v>-640.75</v>
      </c>
      <c r="AT51" s="2">
        <v>-127.4</v>
      </c>
      <c r="AU51" s="2">
        <v>275.87</v>
      </c>
      <c r="AV51" s="2">
        <v>4410.69</v>
      </c>
      <c r="AW51" s="1">
        <v>47</v>
      </c>
    </row>
    <row r="52" spans="1:49" ht="12.75">
      <c r="A52" s="5">
        <v>1410</v>
      </c>
      <c r="B52" s="2" t="s">
        <v>733</v>
      </c>
      <c r="C52" s="305">
        <v>21532.02</v>
      </c>
      <c r="D52" s="305">
        <v>0</v>
      </c>
      <c r="E52" s="305">
        <v>2212</v>
      </c>
      <c r="F52" s="305">
        <v>0</v>
      </c>
      <c r="G52" s="305">
        <v>0</v>
      </c>
      <c r="H52" s="305">
        <v>0</v>
      </c>
      <c r="I52" s="305">
        <v>0</v>
      </c>
      <c r="J52" s="1" t="s">
        <v>734</v>
      </c>
      <c r="K52" s="3" t="s">
        <v>982</v>
      </c>
      <c r="L52" s="365">
        <v>44926</v>
      </c>
      <c r="M52" s="2">
        <v>0</v>
      </c>
      <c r="N52" s="311">
        <v>140</v>
      </c>
      <c r="O52" s="310" t="s">
        <v>81</v>
      </c>
      <c r="P52" s="309">
        <v>40</v>
      </c>
      <c r="Q52" s="60" t="s">
        <v>456</v>
      </c>
      <c r="R52" s="309">
        <v>5020</v>
      </c>
      <c r="S52" s="60" t="s">
        <v>205</v>
      </c>
      <c r="T52" s="61">
        <v>170</v>
      </c>
      <c r="U52" s="60" t="s">
        <v>501</v>
      </c>
      <c r="V52" s="1">
        <v>3</v>
      </c>
      <c r="W52" s="1" t="s">
        <v>34</v>
      </c>
      <c r="X52" s="1" t="s">
        <v>1022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365">
        <v>0</v>
      </c>
      <c r="AE52" s="365">
        <v>0</v>
      </c>
      <c r="AF52" s="365">
        <v>0</v>
      </c>
      <c r="AG52" s="2">
        <v>0</v>
      </c>
      <c r="AH52" s="2">
        <v>-2212</v>
      </c>
      <c r="AI52" s="2">
        <v>0</v>
      </c>
      <c r="AJ52" s="2">
        <v>2212</v>
      </c>
      <c r="AK52" s="2">
        <v>-1372</v>
      </c>
      <c r="AL52" s="2">
        <v>-560</v>
      </c>
      <c r="AM52" s="2">
        <v>-2436</v>
      </c>
      <c r="AN52" s="2">
        <v>-2435.99</v>
      </c>
      <c r="AO52" s="2">
        <v>-1624.02</v>
      </c>
      <c r="AP52" s="2">
        <v>-3080</v>
      </c>
      <c r="AQ52" s="2">
        <v>-2324</v>
      </c>
      <c r="AR52" s="2">
        <v>-2408</v>
      </c>
      <c r="AS52" s="2">
        <v>-1792.01</v>
      </c>
      <c r="AT52" s="2">
        <v>-1316</v>
      </c>
      <c r="AU52" s="2">
        <v>-2184</v>
      </c>
      <c r="AV52" s="2">
        <v>21532.02</v>
      </c>
      <c r="AW52" s="1">
        <v>48</v>
      </c>
    </row>
    <row r="53" spans="1:49" ht="12.75">
      <c r="A53" s="5">
        <v>1410</v>
      </c>
      <c r="B53" s="2" t="s">
        <v>1023</v>
      </c>
      <c r="C53" s="305">
        <v>81835</v>
      </c>
      <c r="D53" s="305">
        <v>0</v>
      </c>
      <c r="E53" s="305">
        <v>22207.3</v>
      </c>
      <c r="F53" s="305">
        <v>11000</v>
      </c>
      <c r="G53" s="305">
        <v>0</v>
      </c>
      <c r="H53" s="305">
        <v>9200</v>
      </c>
      <c r="I53" s="305">
        <v>9200</v>
      </c>
      <c r="J53" s="1" t="s">
        <v>1024</v>
      </c>
      <c r="K53" s="3" t="s">
        <v>982</v>
      </c>
      <c r="L53" s="365">
        <v>44926</v>
      </c>
      <c r="M53" s="2">
        <v>11000</v>
      </c>
      <c r="N53" s="311">
        <v>140</v>
      </c>
      <c r="O53" s="310" t="s">
        <v>81</v>
      </c>
      <c r="P53" s="309">
        <v>40</v>
      </c>
      <c r="Q53" s="60" t="s">
        <v>456</v>
      </c>
      <c r="R53" s="309">
        <v>5020</v>
      </c>
      <c r="S53" s="60" t="s">
        <v>205</v>
      </c>
      <c r="T53" s="61">
        <v>170</v>
      </c>
      <c r="U53" s="60" t="s">
        <v>501</v>
      </c>
      <c r="V53" s="1">
        <v>3</v>
      </c>
      <c r="W53" s="1" t="s">
        <v>34</v>
      </c>
      <c r="X53" s="1" t="s">
        <v>1022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365">
        <v>0</v>
      </c>
      <c r="AE53" s="365">
        <v>0</v>
      </c>
      <c r="AF53" s="365">
        <v>0</v>
      </c>
      <c r="AG53" s="2">
        <v>0</v>
      </c>
      <c r="AH53" s="2">
        <v>-3689.7</v>
      </c>
      <c r="AI53" s="2">
        <v>-9317.6</v>
      </c>
      <c r="AJ53" s="2">
        <v>22207.3</v>
      </c>
      <c r="AK53" s="2">
        <v>-7324.8</v>
      </c>
      <c r="AL53" s="2">
        <v>-2304.4</v>
      </c>
      <c r="AM53" s="2">
        <v>-3787.8</v>
      </c>
      <c r="AN53" s="2">
        <v>-2511</v>
      </c>
      <c r="AO53" s="2">
        <v>-7965</v>
      </c>
      <c r="AP53" s="2">
        <v>-8320.5</v>
      </c>
      <c r="AQ53" s="2">
        <v>-6813</v>
      </c>
      <c r="AR53" s="2">
        <v>-9090</v>
      </c>
      <c r="AS53" s="2">
        <v>-8788.5</v>
      </c>
      <c r="AT53" s="2">
        <v>-12204</v>
      </c>
      <c r="AU53" s="2">
        <v>-10926</v>
      </c>
      <c r="AV53" s="2">
        <v>81835</v>
      </c>
      <c r="AW53" s="1">
        <v>49</v>
      </c>
    </row>
    <row r="54" spans="1:49" ht="12.75">
      <c r="A54" s="5">
        <v>1410</v>
      </c>
      <c r="B54" s="2" t="s">
        <v>735</v>
      </c>
      <c r="C54" s="305">
        <v>-2543.07</v>
      </c>
      <c r="D54" s="305">
        <v>0</v>
      </c>
      <c r="E54" s="305">
        <v>124697.18</v>
      </c>
      <c r="F54" s="305">
        <v>55000</v>
      </c>
      <c r="G54" s="305">
        <v>0</v>
      </c>
      <c r="H54" s="305">
        <v>74000</v>
      </c>
      <c r="I54" s="305">
        <v>74000</v>
      </c>
      <c r="J54" s="1" t="s">
        <v>736</v>
      </c>
      <c r="K54" s="3" t="s">
        <v>982</v>
      </c>
      <c r="L54" s="365">
        <v>44926</v>
      </c>
      <c r="M54" s="2">
        <v>55000</v>
      </c>
      <c r="N54" s="311">
        <v>140</v>
      </c>
      <c r="O54" s="310" t="s">
        <v>81</v>
      </c>
      <c r="P54" s="309">
        <v>40</v>
      </c>
      <c r="Q54" s="60" t="s">
        <v>456</v>
      </c>
      <c r="R54" s="309">
        <v>5022</v>
      </c>
      <c r="S54" s="60" t="s">
        <v>202</v>
      </c>
      <c r="T54" s="61">
        <v>180</v>
      </c>
      <c r="U54" s="60" t="s">
        <v>385</v>
      </c>
      <c r="V54" s="1">
        <v>3</v>
      </c>
      <c r="W54" s="1" t="s">
        <v>34</v>
      </c>
      <c r="X54" s="1" t="s">
        <v>1025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365">
        <v>0</v>
      </c>
      <c r="AE54" s="365">
        <v>0</v>
      </c>
      <c r="AF54" s="365">
        <v>0</v>
      </c>
      <c r="AG54" s="2">
        <v>0</v>
      </c>
      <c r="AH54" s="2">
        <v>-47902.7</v>
      </c>
      <c r="AI54" s="2">
        <v>-2794.48</v>
      </c>
      <c r="AJ54" s="2">
        <v>124697.18</v>
      </c>
      <c r="AK54" s="2">
        <v>-24632.83</v>
      </c>
      <c r="AL54" s="2">
        <v>-14964.51</v>
      </c>
      <c r="AM54" s="2">
        <v>62352.34</v>
      </c>
      <c r="AN54" s="2">
        <v>-2217.2</v>
      </c>
      <c r="AO54" s="2">
        <v>4353.34</v>
      </c>
      <c r="AP54" s="2">
        <v>17003.61</v>
      </c>
      <c r="AQ54" s="2">
        <v>-72894.75</v>
      </c>
      <c r="AR54" s="2">
        <v>3971.93</v>
      </c>
      <c r="AS54" s="2">
        <v>1367.19</v>
      </c>
      <c r="AT54" s="2">
        <v>-1169.99</v>
      </c>
      <c r="AU54" s="2">
        <v>10373.94</v>
      </c>
      <c r="AV54" s="2">
        <v>-2543.07</v>
      </c>
      <c r="AW54" s="1">
        <v>50</v>
      </c>
    </row>
    <row r="55" spans="1:49" ht="12.75">
      <c r="A55" s="5">
        <v>1410</v>
      </c>
      <c r="B55" s="2" t="s">
        <v>737</v>
      </c>
      <c r="C55" s="305">
        <v>4587.4</v>
      </c>
      <c r="D55" s="305">
        <v>0</v>
      </c>
      <c r="E55" s="305">
        <v>86721.56</v>
      </c>
      <c r="F55" s="305">
        <v>41800</v>
      </c>
      <c r="G55" s="305">
        <v>0</v>
      </c>
      <c r="H55" s="305">
        <v>47300</v>
      </c>
      <c r="I55" s="305">
        <v>47300</v>
      </c>
      <c r="J55" s="1" t="s">
        <v>738</v>
      </c>
      <c r="K55" s="3" t="s">
        <v>982</v>
      </c>
      <c r="L55" s="365">
        <v>44926</v>
      </c>
      <c r="M55" s="2">
        <v>41800</v>
      </c>
      <c r="N55" s="311">
        <v>140</v>
      </c>
      <c r="O55" s="310" t="s">
        <v>81</v>
      </c>
      <c r="P55" s="309">
        <v>40</v>
      </c>
      <c r="Q55" s="60" t="s">
        <v>456</v>
      </c>
      <c r="R55" s="309">
        <v>5022</v>
      </c>
      <c r="S55" s="60" t="s">
        <v>202</v>
      </c>
      <c r="T55" s="61">
        <v>180</v>
      </c>
      <c r="U55" s="60" t="s">
        <v>385</v>
      </c>
      <c r="V55" s="1">
        <v>3</v>
      </c>
      <c r="W55" s="1" t="s">
        <v>34</v>
      </c>
      <c r="X55" s="1" t="s">
        <v>1026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365">
        <v>0</v>
      </c>
      <c r="AE55" s="365">
        <v>0</v>
      </c>
      <c r="AF55" s="365">
        <v>0</v>
      </c>
      <c r="AG55" s="2">
        <v>0</v>
      </c>
      <c r="AH55" s="2">
        <v>-34986.56</v>
      </c>
      <c r="AI55" s="2">
        <v>-4435</v>
      </c>
      <c r="AJ55" s="2">
        <v>86721.56</v>
      </c>
      <c r="AK55" s="2">
        <v>-7394.76</v>
      </c>
      <c r="AL55" s="2">
        <v>-5932.81</v>
      </c>
      <c r="AM55" s="2">
        <v>-33972.43</v>
      </c>
      <c r="AN55" s="2">
        <v>0</v>
      </c>
      <c r="AO55" s="2">
        <v>-2654.89</v>
      </c>
      <c r="AP55" s="2">
        <v>7505.61</v>
      </c>
      <c r="AQ55" s="2">
        <v>32849.28</v>
      </c>
      <c r="AR55" s="2">
        <v>-6013.69</v>
      </c>
      <c r="AS55" s="2">
        <v>1317.92</v>
      </c>
      <c r="AT55" s="2">
        <v>-3180.32</v>
      </c>
      <c r="AU55" s="2">
        <v>7388.69</v>
      </c>
      <c r="AV55" s="2">
        <v>4587.4</v>
      </c>
      <c r="AW55" s="1">
        <v>51</v>
      </c>
    </row>
    <row r="56" spans="1:49" ht="12.75">
      <c r="A56" s="5">
        <v>1410</v>
      </c>
      <c r="B56" s="2" t="s">
        <v>739</v>
      </c>
      <c r="C56" s="305">
        <v>17492.79</v>
      </c>
      <c r="D56" s="305">
        <v>0</v>
      </c>
      <c r="E56" s="305">
        <v>35277.06</v>
      </c>
      <c r="F56" s="305">
        <v>24900</v>
      </c>
      <c r="G56" s="305">
        <v>0</v>
      </c>
      <c r="H56" s="305">
        <v>17400</v>
      </c>
      <c r="I56" s="305">
        <v>17400</v>
      </c>
      <c r="J56" s="1" t="s">
        <v>740</v>
      </c>
      <c r="K56" s="3" t="s">
        <v>982</v>
      </c>
      <c r="L56" s="365">
        <v>44926</v>
      </c>
      <c r="M56" s="2">
        <v>24900</v>
      </c>
      <c r="N56" s="311">
        <v>140</v>
      </c>
      <c r="O56" s="310" t="s">
        <v>81</v>
      </c>
      <c r="P56" s="309">
        <v>40</v>
      </c>
      <c r="Q56" s="60" t="s">
        <v>456</v>
      </c>
      <c r="R56" s="309">
        <v>5022</v>
      </c>
      <c r="S56" s="60" t="s">
        <v>202</v>
      </c>
      <c r="T56" s="61">
        <v>180</v>
      </c>
      <c r="U56" s="60" t="s">
        <v>385</v>
      </c>
      <c r="V56" s="1">
        <v>3</v>
      </c>
      <c r="W56" s="1" t="s">
        <v>34</v>
      </c>
      <c r="X56" s="1" t="s">
        <v>1027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365">
        <v>0</v>
      </c>
      <c r="AE56" s="365">
        <v>0</v>
      </c>
      <c r="AF56" s="365">
        <v>0</v>
      </c>
      <c r="AG56" s="2">
        <v>0</v>
      </c>
      <c r="AH56" s="2">
        <v>-15908.5</v>
      </c>
      <c r="AI56" s="2">
        <v>-1968.56</v>
      </c>
      <c r="AJ56" s="2">
        <v>35277.06</v>
      </c>
      <c r="AK56" s="2">
        <v>1040.9</v>
      </c>
      <c r="AL56" s="2">
        <v>-5113.31</v>
      </c>
      <c r="AM56" s="2">
        <v>-13327.59</v>
      </c>
      <c r="AN56" s="2">
        <v>0</v>
      </c>
      <c r="AO56" s="2">
        <v>-4930.43</v>
      </c>
      <c r="AP56" s="2">
        <v>384.91</v>
      </c>
      <c r="AQ56" s="2">
        <v>20545.52</v>
      </c>
      <c r="AR56" s="2">
        <v>-2415.38</v>
      </c>
      <c r="AS56" s="2">
        <v>-1288.31</v>
      </c>
      <c r="AT56" s="2">
        <v>131.13</v>
      </c>
      <c r="AU56" s="2">
        <v>-5020.23</v>
      </c>
      <c r="AV56" s="2">
        <v>17492.79</v>
      </c>
      <c r="AW56" s="1">
        <v>52</v>
      </c>
    </row>
    <row r="57" spans="1:49" ht="12.75">
      <c r="A57" s="5">
        <v>1410</v>
      </c>
      <c r="B57" s="2" t="s">
        <v>741</v>
      </c>
      <c r="C57" s="305">
        <v>-7156.01</v>
      </c>
      <c r="D57" s="305">
        <v>0</v>
      </c>
      <c r="E57" s="305">
        <v>-1297.53</v>
      </c>
      <c r="F57" s="305">
        <v>3900</v>
      </c>
      <c r="G57" s="305">
        <v>0</v>
      </c>
      <c r="H57" s="305">
        <v>4400</v>
      </c>
      <c r="I57" s="305">
        <v>4400</v>
      </c>
      <c r="J57" s="1" t="s">
        <v>742</v>
      </c>
      <c r="K57" s="3" t="s">
        <v>982</v>
      </c>
      <c r="L57" s="365">
        <v>44926</v>
      </c>
      <c r="M57" s="2">
        <v>3900</v>
      </c>
      <c r="N57" s="311">
        <v>140</v>
      </c>
      <c r="O57" s="310" t="s">
        <v>81</v>
      </c>
      <c r="P57" s="309">
        <v>40</v>
      </c>
      <c r="Q57" s="60" t="s">
        <v>456</v>
      </c>
      <c r="R57" s="309">
        <v>5024</v>
      </c>
      <c r="S57" s="60" t="s">
        <v>155</v>
      </c>
      <c r="T57" s="61">
        <v>190</v>
      </c>
      <c r="U57" s="60" t="s">
        <v>503</v>
      </c>
      <c r="V57" s="1">
        <v>3</v>
      </c>
      <c r="W57" s="1" t="s">
        <v>34</v>
      </c>
      <c r="X57" s="1" t="s">
        <v>1028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365">
        <v>0</v>
      </c>
      <c r="AE57" s="365">
        <v>0</v>
      </c>
      <c r="AF57" s="365">
        <v>0</v>
      </c>
      <c r="AG57" s="2">
        <v>0</v>
      </c>
      <c r="AH57" s="2">
        <v>2665.93</v>
      </c>
      <c r="AI57" s="2">
        <v>3031.6</v>
      </c>
      <c r="AJ57" s="2">
        <v>-1297.53</v>
      </c>
      <c r="AK57" s="2">
        <v>136.36</v>
      </c>
      <c r="AL57" s="2">
        <v>3268.06</v>
      </c>
      <c r="AM57" s="2">
        <v>-1637.43</v>
      </c>
      <c r="AN57" s="2">
        <v>2215.47</v>
      </c>
      <c r="AO57" s="2">
        <v>-1952.86</v>
      </c>
      <c r="AP57" s="2">
        <v>2237.82</v>
      </c>
      <c r="AQ57" s="2">
        <v>2352.29</v>
      </c>
      <c r="AR57" s="2">
        <v>538.22</v>
      </c>
      <c r="AS57" s="2">
        <v>-855.1</v>
      </c>
      <c r="AT57" s="2">
        <v>-8725.78</v>
      </c>
      <c r="AU57" s="2">
        <v>9078.96</v>
      </c>
      <c r="AV57" s="2">
        <v>-7156.01</v>
      </c>
      <c r="AW57" s="1">
        <v>53</v>
      </c>
    </row>
    <row r="58" spans="1:49" ht="12.75">
      <c r="A58" s="5">
        <v>1410</v>
      </c>
      <c r="B58" s="2" t="s">
        <v>743</v>
      </c>
      <c r="C58" s="305">
        <v>-23923.22</v>
      </c>
      <c r="D58" s="305">
        <v>0</v>
      </c>
      <c r="E58" s="305">
        <v>1749.2</v>
      </c>
      <c r="F58" s="305">
        <v>2900</v>
      </c>
      <c r="G58" s="305">
        <v>0</v>
      </c>
      <c r="H58" s="305">
        <v>9000</v>
      </c>
      <c r="I58" s="305">
        <v>9000</v>
      </c>
      <c r="J58" s="1" t="s">
        <v>744</v>
      </c>
      <c r="K58" s="3" t="s">
        <v>982</v>
      </c>
      <c r="L58" s="365">
        <v>44926</v>
      </c>
      <c r="M58" s="2">
        <v>2900</v>
      </c>
      <c r="N58" s="311">
        <v>140</v>
      </c>
      <c r="O58" s="310" t="s">
        <v>81</v>
      </c>
      <c r="P58" s="309">
        <v>40</v>
      </c>
      <c r="Q58" s="60" t="s">
        <v>456</v>
      </c>
      <c r="R58" s="309">
        <v>5024</v>
      </c>
      <c r="S58" s="60" t="s">
        <v>155</v>
      </c>
      <c r="T58" s="61">
        <v>190</v>
      </c>
      <c r="U58" s="60" t="s">
        <v>503</v>
      </c>
      <c r="V58" s="1">
        <v>3</v>
      </c>
      <c r="W58" s="1" t="s">
        <v>34</v>
      </c>
      <c r="X58" s="1" t="s">
        <v>1028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365">
        <v>0</v>
      </c>
      <c r="AE58" s="365">
        <v>0</v>
      </c>
      <c r="AF58" s="365">
        <v>0</v>
      </c>
      <c r="AG58" s="2">
        <v>0</v>
      </c>
      <c r="AH58" s="2">
        <v>-0.55</v>
      </c>
      <c r="AI58" s="2">
        <v>7251.35</v>
      </c>
      <c r="AJ58" s="2">
        <v>1749.2</v>
      </c>
      <c r="AK58" s="2">
        <v>4647.31</v>
      </c>
      <c r="AL58" s="2">
        <v>-1026.65</v>
      </c>
      <c r="AM58" s="2">
        <v>2011.33</v>
      </c>
      <c r="AN58" s="2">
        <v>6945.07</v>
      </c>
      <c r="AO58" s="2">
        <v>-9295.51</v>
      </c>
      <c r="AP58" s="2">
        <v>285.04</v>
      </c>
      <c r="AQ58" s="2">
        <v>5279.4</v>
      </c>
      <c r="AR58" s="2">
        <v>2109.73</v>
      </c>
      <c r="AS58" s="2">
        <v>367.92</v>
      </c>
      <c r="AT58" s="2">
        <v>2624.96</v>
      </c>
      <c r="AU58" s="2">
        <v>3874.62</v>
      </c>
      <c r="AV58" s="2">
        <v>-23923.22</v>
      </c>
      <c r="AW58" s="1">
        <v>54</v>
      </c>
    </row>
    <row r="59" spans="1:49" ht="12.75">
      <c r="A59" s="5">
        <v>1410</v>
      </c>
      <c r="B59" s="2" t="s">
        <v>745</v>
      </c>
      <c r="C59" s="305">
        <v>8010.94</v>
      </c>
      <c r="D59" s="305">
        <v>0</v>
      </c>
      <c r="E59" s="305">
        <v>0</v>
      </c>
      <c r="F59" s="305">
        <v>13300</v>
      </c>
      <c r="G59" s="305">
        <v>0</v>
      </c>
      <c r="H59" s="305">
        <v>0</v>
      </c>
      <c r="I59" s="305">
        <v>0</v>
      </c>
      <c r="J59" s="1" t="s">
        <v>746</v>
      </c>
      <c r="K59" s="3" t="s">
        <v>982</v>
      </c>
      <c r="L59" s="365">
        <v>44926</v>
      </c>
      <c r="M59" s="2">
        <v>13300</v>
      </c>
      <c r="N59" s="311">
        <v>140</v>
      </c>
      <c r="O59" s="310" t="s">
        <v>81</v>
      </c>
      <c r="P59" s="309">
        <v>40</v>
      </c>
      <c r="Q59" s="60" t="s">
        <v>456</v>
      </c>
      <c r="R59" s="309">
        <v>5024</v>
      </c>
      <c r="S59" s="60" t="s">
        <v>155</v>
      </c>
      <c r="T59" s="61">
        <v>190</v>
      </c>
      <c r="U59" s="60" t="s">
        <v>503</v>
      </c>
      <c r="V59" s="1">
        <v>3</v>
      </c>
      <c r="W59" s="1" t="s">
        <v>34</v>
      </c>
      <c r="X59" s="1" t="s">
        <v>1029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365">
        <v>0</v>
      </c>
      <c r="AE59" s="365">
        <v>0</v>
      </c>
      <c r="AF59" s="365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1015.06</v>
      </c>
      <c r="AN59" s="2">
        <v>0</v>
      </c>
      <c r="AO59" s="2">
        <v>0</v>
      </c>
      <c r="AP59" s="2">
        <v>0</v>
      </c>
      <c r="AQ59" s="2">
        <v>4352</v>
      </c>
      <c r="AR59" s="2">
        <v>0</v>
      </c>
      <c r="AS59" s="2">
        <v>0</v>
      </c>
      <c r="AT59" s="2">
        <v>-78</v>
      </c>
      <c r="AU59" s="2">
        <v>0</v>
      </c>
      <c r="AV59" s="2">
        <v>8010.94</v>
      </c>
      <c r="AW59" s="1">
        <v>55</v>
      </c>
    </row>
    <row r="60" spans="1:49" ht="12.75">
      <c r="A60" s="5">
        <v>1410</v>
      </c>
      <c r="B60" s="2" t="s">
        <v>747</v>
      </c>
      <c r="C60" s="305">
        <v>-7109.7</v>
      </c>
      <c r="D60" s="305">
        <v>0</v>
      </c>
      <c r="E60" s="305">
        <v>11707.31</v>
      </c>
      <c r="F60" s="305">
        <v>9100</v>
      </c>
      <c r="G60" s="305">
        <v>0</v>
      </c>
      <c r="H60" s="305">
        <v>10400</v>
      </c>
      <c r="I60" s="305">
        <v>10400</v>
      </c>
      <c r="J60" s="1" t="s">
        <v>748</v>
      </c>
      <c r="K60" s="3" t="s">
        <v>982</v>
      </c>
      <c r="L60" s="365">
        <v>44926</v>
      </c>
      <c r="M60" s="2">
        <v>9100</v>
      </c>
      <c r="N60" s="311">
        <v>140</v>
      </c>
      <c r="O60" s="310" t="s">
        <v>81</v>
      </c>
      <c r="P60" s="309">
        <v>40</v>
      </c>
      <c r="Q60" s="60" t="s">
        <v>456</v>
      </c>
      <c r="R60" s="309">
        <v>5024</v>
      </c>
      <c r="S60" s="60" t="s">
        <v>155</v>
      </c>
      <c r="T60" s="61">
        <v>190</v>
      </c>
      <c r="U60" s="60" t="s">
        <v>503</v>
      </c>
      <c r="V60" s="1">
        <v>3</v>
      </c>
      <c r="W60" s="1" t="s">
        <v>34</v>
      </c>
      <c r="X60" s="1" t="s">
        <v>1029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365">
        <v>0</v>
      </c>
      <c r="AE60" s="365">
        <v>0</v>
      </c>
      <c r="AF60" s="365">
        <v>0</v>
      </c>
      <c r="AG60" s="2">
        <v>0</v>
      </c>
      <c r="AH60" s="2">
        <v>-561.85</v>
      </c>
      <c r="AI60" s="2">
        <v>-745.46</v>
      </c>
      <c r="AJ60" s="2">
        <v>11707.31</v>
      </c>
      <c r="AK60" s="2">
        <v>-860.31</v>
      </c>
      <c r="AL60" s="2">
        <v>-496.07</v>
      </c>
      <c r="AM60" s="2">
        <v>-1166.28</v>
      </c>
      <c r="AN60" s="2">
        <v>-735.69</v>
      </c>
      <c r="AO60" s="2">
        <v>-808.81</v>
      </c>
      <c r="AP60" s="2">
        <v>-383.8</v>
      </c>
      <c r="AQ60" s="2">
        <v>-547.94</v>
      </c>
      <c r="AR60" s="2">
        <v>2474.81</v>
      </c>
      <c r="AS60" s="2">
        <v>5750.87</v>
      </c>
      <c r="AT60" s="2">
        <v>-790.14</v>
      </c>
      <c r="AU60" s="2">
        <v>3373.06</v>
      </c>
      <c r="AV60" s="2">
        <v>-7109.7</v>
      </c>
      <c r="AW60" s="1">
        <v>56</v>
      </c>
    </row>
    <row r="61" spans="1:49" ht="12.75">
      <c r="A61" s="5">
        <v>1410</v>
      </c>
      <c r="B61" s="2" t="s">
        <v>749</v>
      </c>
      <c r="C61" s="305">
        <v>-2402.95</v>
      </c>
      <c r="D61" s="305">
        <v>0</v>
      </c>
      <c r="E61" s="305">
        <v>49012.26</v>
      </c>
      <c r="F61" s="305">
        <v>36700</v>
      </c>
      <c r="G61" s="305">
        <v>0</v>
      </c>
      <c r="H61" s="305">
        <v>38000</v>
      </c>
      <c r="I61" s="305">
        <v>38000</v>
      </c>
      <c r="J61" s="1" t="s">
        <v>750</v>
      </c>
      <c r="K61" s="3" t="s">
        <v>982</v>
      </c>
      <c r="L61" s="365">
        <v>44926</v>
      </c>
      <c r="M61" s="2">
        <v>36700</v>
      </c>
      <c r="N61" s="311">
        <v>140</v>
      </c>
      <c r="O61" s="310" t="s">
        <v>81</v>
      </c>
      <c r="P61" s="309">
        <v>40</v>
      </c>
      <c r="Q61" s="60" t="s">
        <v>456</v>
      </c>
      <c r="R61" s="309">
        <v>5024</v>
      </c>
      <c r="S61" s="60" t="s">
        <v>155</v>
      </c>
      <c r="T61" s="61">
        <v>190</v>
      </c>
      <c r="U61" s="60" t="s">
        <v>503</v>
      </c>
      <c r="V61" s="1">
        <v>3</v>
      </c>
      <c r="W61" s="1" t="s">
        <v>34</v>
      </c>
      <c r="X61" s="1" t="s">
        <v>1029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365">
        <v>0</v>
      </c>
      <c r="AE61" s="365">
        <v>0</v>
      </c>
      <c r="AF61" s="365">
        <v>0</v>
      </c>
      <c r="AG61" s="2">
        <v>0</v>
      </c>
      <c r="AH61" s="2">
        <v>-94.89</v>
      </c>
      <c r="AI61" s="2">
        <v>-10917.37</v>
      </c>
      <c r="AJ61" s="2">
        <v>49012.26</v>
      </c>
      <c r="AK61" s="2">
        <v>-54.32</v>
      </c>
      <c r="AL61" s="2">
        <v>62.53</v>
      </c>
      <c r="AM61" s="2">
        <v>530.51</v>
      </c>
      <c r="AN61" s="2">
        <v>-271.12</v>
      </c>
      <c r="AO61" s="2">
        <v>392.59</v>
      </c>
      <c r="AP61" s="2">
        <v>-311.23</v>
      </c>
      <c r="AQ61" s="2">
        <v>1309.08</v>
      </c>
      <c r="AR61" s="2">
        <v>-401.3</v>
      </c>
      <c r="AS61" s="2">
        <v>-114.1</v>
      </c>
      <c r="AT61" s="2">
        <v>-38.69</v>
      </c>
      <c r="AU61" s="2">
        <v>-1</v>
      </c>
      <c r="AV61" s="2">
        <v>-2402.95</v>
      </c>
      <c r="AW61" s="1">
        <v>57</v>
      </c>
    </row>
    <row r="62" spans="1:49" ht="12.75">
      <c r="A62" s="5">
        <v>1410</v>
      </c>
      <c r="B62" s="2" t="s">
        <v>751</v>
      </c>
      <c r="C62" s="305">
        <v>-38077.65</v>
      </c>
      <c r="D62" s="305">
        <v>0</v>
      </c>
      <c r="E62" s="305">
        <v>45031.2</v>
      </c>
      <c r="F62" s="305">
        <v>27700</v>
      </c>
      <c r="G62" s="305">
        <v>0</v>
      </c>
      <c r="H62" s="305">
        <v>51100</v>
      </c>
      <c r="I62" s="305">
        <v>51100</v>
      </c>
      <c r="J62" s="1" t="s">
        <v>752</v>
      </c>
      <c r="K62" s="3" t="s">
        <v>982</v>
      </c>
      <c r="L62" s="365">
        <v>44926</v>
      </c>
      <c r="M62" s="2">
        <v>27700</v>
      </c>
      <c r="N62" s="311">
        <v>140</v>
      </c>
      <c r="O62" s="310" t="s">
        <v>81</v>
      </c>
      <c r="P62" s="309">
        <v>40</v>
      </c>
      <c r="Q62" s="60" t="s">
        <v>456</v>
      </c>
      <c r="R62" s="309">
        <v>5024</v>
      </c>
      <c r="S62" s="60" t="s">
        <v>155</v>
      </c>
      <c r="T62" s="61">
        <v>190</v>
      </c>
      <c r="U62" s="60" t="s">
        <v>503</v>
      </c>
      <c r="V62" s="1">
        <v>3</v>
      </c>
      <c r="W62" s="1" t="s">
        <v>34</v>
      </c>
      <c r="X62" s="1" t="s">
        <v>1030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365">
        <v>0</v>
      </c>
      <c r="AE62" s="365">
        <v>0</v>
      </c>
      <c r="AF62" s="365">
        <v>0</v>
      </c>
      <c r="AG62" s="2">
        <v>0</v>
      </c>
      <c r="AH62" s="2">
        <v>-5371.46</v>
      </c>
      <c r="AI62" s="2">
        <v>11440.26</v>
      </c>
      <c r="AJ62" s="2">
        <v>45031.2</v>
      </c>
      <c r="AK62" s="2">
        <v>-3344.69</v>
      </c>
      <c r="AL62" s="2">
        <v>13677.24</v>
      </c>
      <c r="AM62" s="2">
        <v>16332.56</v>
      </c>
      <c r="AN62" s="2">
        <v>-15450.75</v>
      </c>
      <c r="AO62" s="2">
        <v>25002.28</v>
      </c>
      <c r="AP62" s="2">
        <v>-27262.15</v>
      </c>
      <c r="AQ62" s="2">
        <v>-267.91</v>
      </c>
      <c r="AR62" s="2">
        <v>4100.3</v>
      </c>
      <c r="AS62" s="2">
        <v>-1657.44</v>
      </c>
      <c r="AT62" s="2">
        <v>401.24</v>
      </c>
      <c r="AU62" s="2">
        <v>3146.97</v>
      </c>
      <c r="AV62" s="2">
        <v>-38077.65</v>
      </c>
      <c r="AW62" s="1">
        <v>58</v>
      </c>
    </row>
    <row r="63" spans="1:49" ht="12.75">
      <c r="A63" s="5">
        <v>1410</v>
      </c>
      <c r="B63" s="2" t="s">
        <v>753</v>
      </c>
      <c r="C63" s="305">
        <v>594.29</v>
      </c>
      <c r="D63" s="305">
        <v>0</v>
      </c>
      <c r="E63" s="305">
        <v>3512</v>
      </c>
      <c r="F63" s="305">
        <v>1200</v>
      </c>
      <c r="G63" s="305">
        <v>0</v>
      </c>
      <c r="H63" s="305">
        <v>4100</v>
      </c>
      <c r="I63" s="305">
        <v>4100</v>
      </c>
      <c r="J63" s="1" t="s">
        <v>754</v>
      </c>
      <c r="K63" s="3" t="s">
        <v>982</v>
      </c>
      <c r="L63" s="365">
        <v>44926</v>
      </c>
      <c r="M63" s="2">
        <v>1200</v>
      </c>
      <c r="N63" s="311">
        <v>140</v>
      </c>
      <c r="O63" s="310" t="s">
        <v>81</v>
      </c>
      <c r="P63" s="309">
        <v>40</v>
      </c>
      <c r="Q63" s="60" t="s">
        <v>456</v>
      </c>
      <c r="R63" s="309">
        <v>5024</v>
      </c>
      <c r="S63" s="60" t="s">
        <v>155</v>
      </c>
      <c r="T63" s="61">
        <v>190</v>
      </c>
      <c r="U63" s="60" t="s">
        <v>503</v>
      </c>
      <c r="V63" s="1">
        <v>3</v>
      </c>
      <c r="W63" s="1" t="s">
        <v>34</v>
      </c>
      <c r="X63" s="1" t="s">
        <v>1029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365">
        <v>0</v>
      </c>
      <c r="AE63" s="365">
        <v>0</v>
      </c>
      <c r="AF63" s="365">
        <v>0</v>
      </c>
      <c r="AG63" s="2">
        <v>0</v>
      </c>
      <c r="AH63" s="2">
        <v>-1005</v>
      </c>
      <c r="AI63" s="2">
        <v>1593</v>
      </c>
      <c r="AJ63" s="2">
        <v>3512</v>
      </c>
      <c r="AK63" s="2">
        <v>-3015</v>
      </c>
      <c r="AL63" s="2">
        <v>-17.65</v>
      </c>
      <c r="AM63" s="2">
        <v>-60.96</v>
      </c>
      <c r="AN63" s="2">
        <v>-128.6</v>
      </c>
      <c r="AO63" s="2">
        <v>-104.27</v>
      </c>
      <c r="AP63" s="2">
        <v>-70.6</v>
      </c>
      <c r="AQ63" s="2">
        <v>-32.95</v>
      </c>
      <c r="AR63" s="2">
        <v>-40.35</v>
      </c>
      <c r="AS63" s="2">
        <v>-23.91</v>
      </c>
      <c r="AT63" s="2">
        <v>0</v>
      </c>
      <c r="AU63" s="2">
        <v>0</v>
      </c>
      <c r="AV63" s="2">
        <v>594.29</v>
      </c>
      <c r="AW63" s="1">
        <v>59</v>
      </c>
    </row>
    <row r="64" spans="1:49" ht="12.75">
      <c r="A64" s="5">
        <v>1410</v>
      </c>
      <c r="B64" s="2" t="s">
        <v>755</v>
      </c>
      <c r="C64" s="305">
        <v>-100668.1</v>
      </c>
      <c r="D64" s="305">
        <v>0</v>
      </c>
      <c r="E64" s="305">
        <v>-3339.4</v>
      </c>
      <c r="F64" s="305">
        <v>0</v>
      </c>
      <c r="G64" s="305">
        <v>0</v>
      </c>
      <c r="H64" s="305">
        <v>11200</v>
      </c>
      <c r="I64" s="305">
        <v>11200</v>
      </c>
      <c r="J64" s="1" t="s">
        <v>756</v>
      </c>
      <c r="K64" s="3" t="s">
        <v>982</v>
      </c>
      <c r="L64" s="365">
        <v>44926</v>
      </c>
      <c r="M64" s="2">
        <v>0</v>
      </c>
      <c r="N64" s="311">
        <v>140</v>
      </c>
      <c r="O64" s="310" t="s">
        <v>81</v>
      </c>
      <c r="P64" s="309">
        <v>40</v>
      </c>
      <c r="Q64" s="60" t="s">
        <v>456</v>
      </c>
      <c r="R64" s="309">
        <v>5024</v>
      </c>
      <c r="S64" s="60" t="s">
        <v>155</v>
      </c>
      <c r="T64" s="61">
        <v>190</v>
      </c>
      <c r="U64" s="60" t="s">
        <v>503</v>
      </c>
      <c r="V64" s="1">
        <v>3</v>
      </c>
      <c r="W64" s="1" t="s">
        <v>34</v>
      </c>
      <c r="X64" s="1" t="s">
        <v>1029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365">
        <v>0</v>
      </c>
      <c r="AE64" s="365">
        <v>0</v>
      </c>
      <c r="AF64" s="365">
        <v>0</v>
      </c>
      <c r="AG64" s="2">
        <v>0</v>
      </c>
      <c r="AH64" s="2">
        <v>4518</v>
      </c>
      <c r="AI64" s="2">
        <v>10021.4</v>
      </c>
      <c r="AJ64" s="2">
        <v>-3339.4</v>
      </c>
      <c r="AK64" s="2">
        <v>11979</v>
      </c>
      <c r="AL64" s="2">
        <v>3834</v>
      </c>
      <c r="AM64" s="2">
        <v>5360.4</v>
      </c>
      <c r="AN64" s="2">
        <v>3222</v>
      </c>
      <c r="AO64" s="2">
        <v>7470</v>
      </c>
      <c r="AP64" s="2">
        <v>7858.26</v>
      </c>
      <c r="AQ64" s="2">
        <v>7528.5</v>
      </c>
      <c r="AR64" s="2">
        <v>8092.44</v>
      </c>
      <c r="AS64" s="2">
        <v>9913.5</v>
      </c>
      <c r="AT64" s="2">
        <v>15155.5</v>
      </c>
      <c r="AU64" s="2">
        <v>9054.5</v>
      </c>
      <c r="AV64" s="2">
        <v>-100668.1</v>
      </c>
      <c r="AW64" s="1">
        <v>60</v>
      </c>
    </row>
    <row r="65" spans="1:49" ht="12.75">
      <c r="A65" s="5">
        <v>1410</v>
      </c>
      <c r="B65" s="2" t="s">
        <v>757</v>
      </c>
      <c r="C65" s="305">
        <v>14753.06</v>
      </c>
      <c r="D65" s="305">
        <v>0</v>
      </c>
      <c r="E65" s="305">
        <v>6336.32</v>
      </c>
      <c r="F65" s="305">
        <v>2500</v>
      </c>
      <c r="G65" s="305">
        <v>0</v>
      </c>
      <c r="H65" s="305">
        <v>0</v>
      </c>
      <c r="I65" s="305">
        <v>0</v>
      </c>
      <c r="J65" s="1" t="s">
        <v>758</v>
      </c>
      <c r="K65" s="3" t="s">
        <v>982</v>
      </c>
      <c r="L65" s="365">
        <v>44926</v>
      </c>
      <c r="M65" s="2">
        <v>2500</v>
      </c>
      <c r="N65" s="311">
        <v>140</v>
      </c>
      <c r="O65" s="310" t="s">
        <v>81</v>
      </c>
      <c r="P65" s="309">
        <v>40</v>
      </c>
      <c r="Q65" s="60" t="s">
        <v>456</v>
      </c>
      <c r="R65" s="309">
        <v>5024</v>
      </c>
      <c r="S65" s="60" t="s">
        <v>155</v>
      </c>
      <c r="T65" s="61">
        <v>200</v>
      </c>
      <c r="U65" s="60" t="s">
        <v>499</v>
      </c>
      <c r="V65" s="1">
        <v>3</v>
      </c>
      <c r="W65" s="1" t="s">
        <v>34</v>
      </c>
      <c r="X65" s="1" t="s">
        <v>1031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365">
        <v>0</v>
      </c>
      <c r="AE65" s="365">
        <v>0</v>
      </c>
      <c r="AF65" s="365">
        <v>0</v>
      </c>
      <c r="AG65" s="2">
        <v>0</v>
      </c>
      <c r="AH65" s="2">
        <v>-2146.47</v>
      </c>
      <c r="AI65" s="2">
        <v>-4189.85</v>
      </c>
      <c r="AJ65" s="2">
        <v>6336.32</v>
      </c>
      <c r="AK65" s="2">
        <v>272.15</v>
      </c>
      <c r="AL65" s="2">
        <v>1609.62</v>
      </c>
      <c r="AM65" s="2">
        <v>-7876.38</v>
      </c>
      <c r="AN65" s="2">
        <v>2494.79</v>
      </c>
      <c r="AO65" s="2">
        <v>-2238.89</v>
      </c>
      <c r="AP65" s="2">
        <v>-169.32</v>
      </c>
      <c r="AQ65" s="2">
        <v>-1293.33</v>
      </c>
      <c r="AR65" s="2">
        <v>-803.86</v>
      </c>
      <c r="AS65" s="2">
        <v>-1487.06</v>
      </c>
      <c r="AT65" s="2">
        <v>-529.03</v>
      </c>
      <c r="AU65" s="2">
        <v>-2231.75</v>
      </c>
      <c r="AV65" s="2">
        <v>14753.06</v>
      </c>
      <c r="AW65" s="1">
        <v>61</v>
      </c>
    </row>
    <row r="66" spans="1:49" ht="12.75">
      <c r="A66" s="5">
        <v>1410</v>
      </c>
      <c r="B66" s="2" t="s">
        <v>759</v>
      </c>
      <c r="C66" s="305">
        <v>-1824.82</v>
      </c>
      <c r="D66" s="305">
        <v>0</v>
      </c>
      <c r="E66" s="305">
        <v>1223.3</v>
      </c>
      <c r="F66" s="305">
        <v>0</v>
      </c>
      <c r="G66" s="305">
        <v>0</v>
      </c>
      <c r="H66" s="305">
        <v>0</v>
      </c>
      <c r="I66" s="305">
        <v>0</v>
      </c>
      <c r="J66" s="1" t="s">
        <v>760</v>
      </c>
      <c r="K66" s="3" t="s">
        <v>982</v>
      </c>
      <c r="L66" s="365">
        <v>44926</v>
      </c>
      <c r="M66" s="2">
        <v>0</v>
      </c>
      <c r="N66" s="311">
        <v>140</v>
      </c>
      <c r="O66" s="310" t="s">
        <v>81</v>
      </c>
      <c r="P66" s="309">
        <v>40</v>
      </c>
      <c r="Q66" s="60" t="s">
        <v>456</v>
      </c>
      <c r="R66" s="309">
        <v>5024</v>
      </c>
      <c r="S66" s="60" t="s">
        <v>155</v>
      </c>
      <c r="T66" s="61">
        <v>200</v>
      </c>
      <c r="U66" s="60" t="s">
        <v>499</v>
      </c>
      <c r="V66" s="1">
        <v>3</v>
      </c>
      <c r="W66" s="1" t="s">
        <v>34</v>
      </c>
      <c r="X66" s="1" t="s">
        <v>1032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365">
        <v>0</v>
      </c>
      <c r="AE66" s="365">
        <v>0</v>
      </c>
      <c r="AF66" s="365">
        <v>0</v>
      </c>
      <c r="AG66" s="2">
        <v>0</v>
      </c>
      <c r="AH66" s="2">
        <v>-1116.42</v>
      </c>
      <c r="AI66" s="2">
        <v>-106.88</v>
      </c>
      <c r="AJ66" s="2">
        <v>1223.3</v>
      </c>
      <c r="AK66" s="2">
        <v>438</v>
      </c>
      <c r="AL66" s="2">
        <v>-1032.47</v>
      </c>
      <c r="AM66" s="2">
        <v>2493.06</v>
      </c>
      <c r="AN66" s="2">
        <v>-2303.49</v>
      </c>
      <c r="AO66" s="2">
        <v>-659.26</v>
      </c>
      <c r="AP66" s="2">
        <v>1559.36</v>
      </c>
      <c r="AQ66" s="2">
        <v>-523.57</v>
      </c>
      <c r="AR66" s="2">
        <v>463.78</v>
      </c>
      <c r="AS66" s="2">
        <v>970.52</v>
      </c>
      <c r="AT66" s="2">
        <v>487.92</v>
      </c>
      <c r="AU66" s="2">
        <v>-69.03</v>
      </c>
      <c r="AV66" s="2">
        <v>-1824.82</v>
      </c>
      <c r="AW66" s="1">
        <v>62</v>
      </c>
    </row>
    <row r="67" spans="1:49" ht="12.75">
      <c r="A67" s="5">
        <v>1410</v>
      </c>
      <c r="B67" s="2" t="s">
        <v>761</v>
      </c>
      <c r="C67" s="305">
        <v>8091.59</v>
      </c>
      <c r="D67" s="305">
        <v>0</v>
      </c>
      <c r="E67" s="305">
        <v>119325.71</v>
      </c>
      <c r="F67" s="305">
        <v>133500</v>
      </c>
      <c r="G67" s="305">
        <v>0</v>
      </c>
      <c r="H67" s="305">
        <v>129900</v>
      </c>
      <c r="I67" s="305">
        <v>129900</v>
      </c>
      <c r="J67" s="1" t="s">
        <v>762</v>
      </c>
      <c r="K67" s="3" t="s">
        <v>982</v>
      </c>
      <c r="L67" s="365">
        <v>44926</v>
      </c>
      <c r="M67" s="2">
        <v>133500</v>
      </c>
      <c r="N67" s="311">
        <v>140</v>
      </c>
      <c r="O67" s="310" t="s">
        <v>81</v>
      </c>
      <c r="P67" s="309">
        <v>40</v>
      </c>
      <c r="Q67" s="60" t="s">
        <v>456</v>
      </c>
      <c r="R67" s="309">
        <v>5024</v>
      </c>
      <c r="S67" s="60" t="s">
        <v>155</v>
      </c>
      <c r="T67" s="61">
        <v>200</v>
      </c>
      <c r="U67" s="60" t="s">
        <v>499</v>
      </c>
      <c r="V67" s="1">
        <v>3</v>
      </c>
      <c r="W67" s="1" t="s">
        <v>34</v>
      </c>
      <c r="X67" s="1" t="s">
        <v>1032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365">
        <v>0</v>
      </c>
      <c r="AE67" s="365">
        <v>0</v>
      </c>
      <c r="AF67" s="365">
        <v>0</v>
      </c>
      <c r="AG67" s="2">
        <v>0</v>
      </c>
      <c r="AH67" s="2">
        <v>5509.01</v>
      </c>
      <c r="AI67" s="2">
        <v>5065.28</v>
      </c>
      <c r="AJ67" s="2">
        <v>119325.71</v>
      </c>
      <c r="AK67" s="2">
        <v>14690.49</v>
      </c>
      <c r="AL67" s="2">
        <v>17120.54</v>
      </c>
      <c r="AM67" s="2">
        <v>-91361.89</v>
      </c>
      <c r="AN67" s="2">
        <v>-933.84</v>
      </c>
      <c r="AO67" s="2">
        <v>-5948.73</v>
      </c>
      <c r="AP67" s="2">
        <v>-10272.9</v>
      </c>
      <c r="AQ67" s="2">
        <v>3969.01</v>
      </c>
      <c r="AR67" s="2">
        <v>46727.12</v>
      </c>
      <c r="AS67" s="2">
        <v>-505.6</v>
      </c>
      <c r="AT67" s="2">
        <v>7571</v>
      </c>
      <c r="AU67" s="2">
        <v>14453.21</v>
      </c>
      <c r="AV67" s="2">
        <v>8091.59</v>
      </c>
      <c r="AW67" s="1">
        <v>63</v>
      </c>
    </row>
    <row r="68" spans="1:49" ht="12.75">
      <c r="A68" s="5">
        <v>1410</v>
      </c>
      <c r="B68" s="2" t="s">
        <v>763</v>
      </c>
      <c r="C68" s="305">
        <v>42238.93</v>
      </c>
      <c r="D68" s="305">
        <v>0</v>
      </c>
      <c r="E68" s="305">
        <v>90362.83</v>
      </c>
      <c r="F68" s="305">
        <v>92300</v>
      </c>
      <c r="G68" s="305">
        <v>0</v>
      </c>
      <c r="H68" s="305">
        <v>86600</v>
      </c>
      <c r="I68" s="305">
        <v>86600</v>
      </c>
      <c r="J68" s="1" t="s">
        <v>764</v>
      </c>
      <c r="K68" s="3" t="s">
        <v>982</v>
      </c>
      <c r="L68" s="365">
        <v>44926</v>
      </c>
      <c r="M68" s="2">
        <v>92300</v>
      </c>
      <c r="N68" s="311">
        <v>140</v>
      </c>
      <c r="O68" s="310" t="s">
        <v>81</v>
      </c>
      <c r="P68" s="309">
        <v>40</v>
      </c>
      <c r="Q68" s="60" t="s">
        <v>456</v>
      </c>
      <c r="R68" s="309">
        <v>2001</v>
      </c>
      <c r="S68" s="60" t="s">
        <v>203</v>
      </c>
      <c r="T68" s="61">
        <v>200</v>
      </c>
      <c r="U68" s="60" t="s">
        <v>499</v>
      </c>
      <c r="V68" s="1">
        <v>3</v>
      </c>
      <c r="W68" s="1" t="s">
        <v>34</v>
      </c>
      <c r="X68" s="1" t="s">
        <v>1033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365">
        <v>0</v>
      </c>
      <c r="AE68" s="365">
        <v>0</v>
      </c>
      <c r="AF68" s="365">
        <v>0</v>
      </c>
      <c r="AG68" s="2">
        <v>0</v>
      </c>
      <c r="AH68" s="2">
        <v>-1690.65</v>
      </c>
      <c r="AI68" s="2">
        <v>-2072.18</v>
      </c>
      <c r="AJ68" s="2">
        <v>90362.83</v>
      </c>
      <c r="AK68" s="2">
        <v>-1812.87</v>
      </c>
      <c r="AL68" s="2">
        <v>-1937.79</v>
      </c>
      <c r="AM68" s="2">
        <v>-2221.53</v>
      </c>
      <c r="AN68" s="2">
        <v>-3160.69</v>
      </c>
      <c r="AO68" s="2">
        <v>-3333.44</v>
      </c>
      <c r="AP68" s="2">
        <v>-7128.6</v>
      </c>
      <c r="AQ68" s="2">
        <v>-5235.55</v>
      </c>
      <c r="AR68" s="2">
        <v>-7287.41</v>
      </c>
      <c r="AS68" s="2">
        <v>-3841.39</v>
      </c>
      <c r="AT68" s="2">
        <v>-619.02</v>
      </c>
      <c r="AU68" s="2">
        <v>39.36</v>
      </c>
      <c r="AV68" s="2">
        <v>42238.93</v>
      </c>
      <c r="AW68" s="1">
        <v>64</v>
      </c>
    </row>
    <row r="69" spans="1:49" ht="12.75">
      <c r="A69" s="5">
        <v>1410</v>
      </c>
      <c r="B69" s="2" t="s">
        <v>765</v>
      </c>
      <c r="C69" s="305">
        <v>40250.83</v>
      </c>
      <c r="D69" s="305">
        <v>0</v>
      </c>
      <c r="E69" s="305">
        <v>44865</v>
      </c>
      <c r="F69" s="305">
        <v>0</v>
      </c>
      <c r="G69" s="305">
        <v>0</v>
      </c>
      <c r="H69" s="305">
        <v>0</v>
      </c>
      <c r="I69" s="305">
        <v>0</v>
      </c>
      <c r="J69" s="1" t="s">
        <v>766</v>
      </c>
      <c r="K69" s="3" t="s">
        <v>982</v>
      </c>
      <c r="L69" s="365">
        <v>44926</v>
      </c>
      <c r="M69" s="2">
        <v>0</v>
      </c>
      <c r="N69" s="311">
        <v>140</v>
      </c>
      <c r="O69" s="310" t="s">
        <v>81</v>
      </c>
      <c r="P69" s="309">
        <v>40</v>
      </c>
      <c r="Q69" s="60" t="s">
        <v>456</v>
      </c>
      <c r="R69" s="309">
        <v>5014</v>
      </c>
      <c r="S69" s="60" t="s">
        <v>211</v>
      </c>
      <c r="T69" s="61">
        <v>200</v>
      </c>
      <c r="U69" s="60" t="s">
        <v>499</v>
      </c>
      <c r="V69" s="1">
        <v>3</v>
      </c>
      <c r="W69" s="1" t="s">
        <v>34</v>
      </c>
      <c r="X69" s="1" t="s">
        <v>1014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365">
        <v>0</v>
      </c>
      <c r="AE69" s="365">
        <v>0</v>
      </c>
      <c r="AF69" s="365">
        <v>0</v>
      </c>
      <c r="AG69" s="2">
        <v>0</v>
      </c>
      <c r="AH69" s="2">
        <v>-33074.56</v>
      </c>
      <c r="AI69" s="2">
        <v>-11790.44</v>
      </c>
      <c r="AJ69" s="2">
        <v>44865</v>
      </c>
      <c r="AK69" s="2">
        <v>-523.17</v>
      </c>
      <c r="AL69" s="2">
        <v>16599.95</v>
      </c>
      <c r="AM69" s="2">
        <v>38612.23</v>
      </c>
      <c r="AN69" s="2">
        <v>-18764.96</v>
      </c>
      <c r="AO69" s="2">
        <v>4050.76</v>
      </c>
      <c r="AP69" s="2">
        <v>-3280.23</v>
      </c>
      <c r="AQ69" s="2">
        <v>-1199.88</v>
      </c>
      <c r="AR69" s="2">
        <v>-959.75</v>
      </c>
      <c r="AS69" s="2">
        <v>-2103.79</v>
      </c>
      <c r="AT69" s="2">
        <v>-21520.69</v>
      </c>
      <c r="AU69" s="2">
        <v>-51161.3</v>
      </c>
      <c r="AV69" s="2">
        <v>40250.83</v>
      </c>
      <c r="AW69" s="1">
        <v>65</v>
      </c>
    </row>
    <row r="70" spans="1:49" ht="12.75">
      <c r="A70" s="5">
        <v>1410</v>
      </c>
      <c r="B70" s="2" t="s">
        <v>1034</v>
      </c>
      <c r="C70" s="305">
        <v>-23449.19</v>
      </c>
      <c r="D70" s="305">
        <v>0</v>
      </c>
      <c r="E70" s="305">
        <v>0</v>
      </c>
      <c r="F70" s="305">
        <v>0</v>
      </c>
      <c r="G70" s="305">
        <v>0</v>
      </c>
      <c r="H70" s="305">
        <v>0</v>
      </c>
      <c r="I70" s="305">
        <v>0</v>
      </c>
      <c r="J70" s="1" t="s">
        <v>1035</v>
      </c>
      <c r="K70" s="3" t="s">
        <v>982</v>
      </c>
      <c r="L70" s="365">
        <v>44926</v>
      </c>
      <c r="M70" s="2">
        <v>0</v>
      </c>
      <c r="N70" s="311">
        <v>140</v>
      </c>
      <c r="O70" s="310" t="s">
        <v>81</v>
      </c>
      <c r="P70" s="309">
        <v>40</v>
      </c>
      <c r="Q70" s="60" t="s">
        <v>456</v>
      </c>
      <c r="R70" s="309">
        <v>5014</v>
      </c>
      <c r="S70" s="60" t="s">
        <v>211</v>
      </c>
      <c r="T70" s="61">
        <v>200</v>
      </c>
      <c r="U70" s="60" t="s">
        <v>499</v>
      </c>
      <c r="V70" s="1">
        <v>3</v>
      </c>
      <c r="W70" s="1" t="s">
        <v>34</v>
      </c>
      <c r="X70" s="1" t="s">
        <v>1014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365">
        <v>0</v>
      </c>
      <c r="AE70" s="365">
        <v>0</v>
      </c>
      <c r="AF70" s="365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-23700</v>
      </c>
      <c r="AO70" s="2">
        <v>-14945</v>
      </c>
      <c r="AP70" s="2">
        <v>4785.2</v>
      </c>
      <c r="AQ70" s="2">
        <v>-5955.56</v>
      </c>
      <c r="AR70" s="2">
        <v>7988.89</v>
      </c>
      <c r="AS70" s="2">
        <v>1525.38</v>
      </c>
      <c r="AT70" s="2">
        <v>28268.44</v>
      </c>
      <c r="AU70" s="2">
        <v>25481.84</v>
      </c>
      <c r="AV70" s="2">
        <v>-23449.19</v>
      </c>
      <c r="AW70" s="1">
        <v>66</v>
      </c>
    </row>
    <row r="71" spans="1:49" ht="12.75">
      <c r="A71" s="5">
        <v>1410</v>
      </c>
      <c r="B71" s="2" t="s">
        <v>1036</v>
      </c>
      <c r="C71" s="305">
        <v>0</v>
      </c>
      <c r="D71" s="305">
        <v>0</v>
      </c>
      <c r="E71" s="305">
        <v>-57533</v>
      </c>
      <c r="F71" s="305">
        <v>0</v>
      </c>
      <c r="G71" s="305">
        <v>0</v>
      </c>
      <c r="H71" s="305">
        <v>0</v>
      </c>
      <c r="I71" s="305">
        <v>0</v>
      </c>
      <c r="J71" s="1" t="s">
        <v>1037</v>
      </c>
      <c r="K71" s="3" t="s">
        <v>982</v>
      </c>
      <c r="L71" s="365">
        <v>44561</v>
      </c>
      <c r="M71" s="2">
        <v>0</v>
      </c>
      <c r="N71" s="311">
        <v>140</v>
      </c>
      <c r="O71" s="310" t="s">
        <v>81</v>
      </c>
      <c r="P71" s="309">
        <v>40</v>
      </c>
      <c r="Q71" s="60" t="s">
        <v>456</v>
      </c>
      <c r="R71" s="309">
        <v>5020</v>
      </c>
      <c r="S71" s="60" t="s">
        <v>205</v>
      </c>
      <c r="T71" s="61">
        <v>170</v>
      </c>
      <c r="U71" s="60" t="s">
        <v>501</v>
      </c>
      <c r="V71" s="1">
        <v>3</v>
      </c>
      <c r="W71" s="1" t="s">
        <v>34</v>
      </c>
      <c r="X71" s="1" t="s">
        <v>1038</v>
      </c>
      <c r="Y71" s="2">
        <v>13329</v>
      </c>
      <c r="Z71" s="2">
        <v>6093</v>
      </c>
      <c r="AA71" s="2">
        <v>5067</v>
      </c>
      <c r="AB71" s="2">
        <v>7596</v>
      </c>
      <c r="AC71" s="2">
        <v>5319</v>
      </c>
      <c r="AD71" s="365">
        <v>4590</v>
      </c>
      <c r="AE71" s="365">
        <v>0</v>
      </c>
      <c r="AF71" s="365">
        <v>1692</v>
      </c>
      <c r="AG71" s="2">
        <v>4347</v>
      </c>
      <c r="AH71" s="2">
        <v>0</v>
      </c>
      <c r="AI71" s="2">
        <v>0</v>
      </c>
      <c r="AJ71" s="2">
        <v>-57533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1">
        <v>67</v>
      </c>
    </row>
    <row r="72" spans="1:49" ht="12.75">
      <c r="A72" s="5">
        <v>1410</v>
      </c>
      <c r="B72" s="2" t="s">
        <v>1039</v>
      </c>
      <c r="C72" s="305">
        <v>0</v>
      </c>
      <c r="D72" s="305">
        <v>0</v>
      </c>
      <c r="E72" s="305">
        <v>35812.2</v>
      </c>
      <c r="F72" s="305">
        <v>0</v>
      </c>
      <c r="G72" s="305">
        <v>0</v>
      </c>
      <c r="H72" s="305">
        <v>0</v>
      </c>
      <c r="I72" s="305">
        <v>0</v>
      </c>
      <c r="J72" s="1" t="s">
        <v>1040</v>
      </c>
      <c r="K72" s="3" t="s">
        <v>982</v>
      </c>
      <c r="L72" s="365">
        <v>44561</v>
      </c>
      <c r="M72" s="2">
        <v>0</v>
      </c>
      <c r="N72" s="311">
        <v>140</v>
      </c>
      <c r="O72" s="310" t="s">
        <v>81</v>
      </c>
      <c r="P72" s="309">
        <v>40</v>
      </c>
      <c r="Q72" s="60" t="s">
        <v>456</v>
      </c>
      <c r="R72" s="309">
        <v>5020</v>
      </c>
      <c r="S72" s="60" t="s">
        <v>205</v>
      </c>
      <c r="T72" s="61">
        <v>170</v>
      </c>
      <c r="U72" s="60" t="s">
        <v>501</v>
      </c>
      <c r="V72" s="1">
        <v>3</v>
      </c>
      <c r="W72" s="1" t="s">
        <v>34</v>
      </c>
      <c r="X72" s="1" t="s">
        <v>1041</v>
      </c>
      <c r="Y72" s="2">
        <v>-13655</v>
      </c>
      <c r="Z72" s="2">
        <v>-6449.5</v>
      </c>
      <c r="AA72" s="2">
        <v>-9504</v>
      </c>
      <c r="AB72" s="2">
        <v>-5836.5</v>
      </c>
      <c r="AC72" s="2">
        <v>-4045.5</v>
      </c>
      <c r="AD72" s="365">
        <v>-5672.7</v>
      </c>
      <c r="AE72" s="365">
        <v>-2475</v>
      </c>
      <c r="AF72" s="365">
        <v>882</v>
      </c>
      <c r="AG72" s="2">
        <v>4873.5</v>
      </c>
      <c r="AH72" s="2">
        <v>6070.5</v>
      </c>
      <c r="AI72" s="2">
        <v>0</v>
      </c>
      <c r="AJ72" s="2">
        <v>35812.2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1">
        <v>68</v>
      </c>
    </row>
    <row r="73" spans="1:49" ht="12.75">
      <c r="A73" s="5">
        <v>1410</v>
      </c>
      <c r="B73" s="2" t="s">
        <v>767</v>
      </c>
      <c r="C73" s="305">
        <v>0</v>
      </c>
      <c r="D73" s="305">
        <v>0</v>
      </c>
      <c r="E73" s="305">
        <v>-99207.23</v>
      </c>
      <c r="F73" s="305">
        <v>0</v>
      </c>
      <c r="G73" s="305">
        <v>0</v>
      </c>
      <c r="H73" s="305">
        <v>0</v>
      </c>
      <c r="I73" s="305">
        <v>0</v>
      </c>
      <c r="J73" s="1" t="s">
        <v>768</v>
      </c>
      <c r="K73" s="3" t="s">
        <v>982</v>
      </c>
      <c r="L73" s="365">
        <v>44561</v>
      </c>
      <c r="M73" s="2">
        <v>0</v>
      </c>
      <c r="N73" s="311">
        <v>140</v>
      </c>
      <c r="O73" s="310" t="s">
        <v>81</v>
      </c>
      <c r="P73" s="309">
        <v>40</v>
      </c>
      <c r="Q73" s="60" t="s">
        <v>456</v>
      </c>
      <c r="R73" s="309">
        <v>5020</v>
      </c>
      <c r="S73" s="60" t="s">
        <v>205</v>
      </c>
      <c r="T73" s="61">
        <v>170</v>
      </c>
      <c r="U73" s="60" t="s">
        <v>501</v>
      </c>
      <c r="V73" s="1">
        <v>3</v>
      </c>
      <c r="W73" s="1" t="s">
        <v>34</v>
      </c>
      <c r="X73" s="1" t="s">
        <v>1022</v>
      </c>
      <c r="Y73" s="2">
        <v>-153</v>
      </c>
      <c r="Z73" s="2">
        <v>-256.5</v>
      </c>
      <c r="AA73" s="2">
        <v>-202.5</v>
      </c>
      <c r="AB73" s="2">
        <v>-172.8</v>
      </c>
      <c r="AC73" s="2">
        <v>-200.63</v>
      </c>
      <c r="AD73" s="365">
        <v>-36</v>
      </c>
      <c r="AE73" s="365">
        <v>0</v>
      </c>
      <c r="AF73" s="365">
        <v>-2059.34</v>
      </c>
      <c r="AG73" s="2">
        <v>-9912</v>
      </c>
      <c r="AH73" s="2">
        <v>0</v>
      </c>
      <c r="AI73" s="2">
        <v>0</v>
      </c>
      <c r="AJ73" s="2">
        <v>-99207.23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1">
        <v>69</v>
      </c>
    </row>
    <row r="74" spans="1:49" ht="12.75">
      <c r="A74" s="5">
        <v>1410</v>
      </c>
      <c r="B74" s="2" t="s">
        <v>219</v>
      </c>
      <c r="C74" s="305">
        <v>0</v>
      </c>
      <c r="D74" s="305">
        <v>0</v>
      </c>
      <c r="E74" s="305">
        <v>4039.1</v>
      </c>
      <c r="F74" s="305">
        <v>0</v>
      </c>
      <c r="G74" s="305">
        <v>0</v>
      </c>
      <c r="H74" s="305">
        <v>0</v>
      </c>
      <c r="I74" s="305">
        <v>0</v>
      </c>
      <c r="J74" s="1" t="s">
        <v>769</v>
      </c>
      <c r="K74" s="3" t="s">
        <v>982</v>
      </c>
      <c r="L74" s="365">
        <v>44561</v>
      </c>
      <c r="M74" s="2">
        <v>0</v>
      </c>
      <c r="N74" s="311">
        <v>140</v>
      </c>
      <c r="O74" s="310" t="s">
        <v>81</v>
      </c>
      <c r="P74" s="309">
        <v>40</v>
      </c>
      <c r="Q74" s="60" t="s">
        <v>456</v>
      </c>
      <c r="R74" s="309">
        <v>2001</v>
      </c>
      <c r="S74" s="60" t="s">
        <v>203</v>
      </c>
      <c r="T74" s="61">
        <v>200</v>
      </c>
      <c r="U74" s="60" t="s">
        <v>499</v>
      </c>
      <c r="V74" s="1">
        <v>3</v>
      </c>
      <c r="W74" s="1" t="s">
        <v>34</v>
      </c>
      <c r="X74" s="1" t="s">
        <v>1042</v>
      </c>
      <c r="Y74" s="2">
        <v>-3335</v>
      </c>
      <c r="Z74" s="2">
        <v>-4660.16</v>
      </c>
      <c r="AA74" s="2">
        <v>-4352.53</v>
      </c>
      <c r="AB74" s="2">
        <v>-2135.31</v>
      </c>
      <c r="AC74" s="2">
        <v>-6608.13</v>
      </c>
      <c r="AD74" s="365">
        <v>-4219.58</v>
      </c>
      <c r="AE74" s="365">
        <v>912.77</v>
      </c>
      <c r="AF74" s="365">
        <v>2459</v>
      </c>
      <c r="AG74" s="2">
        <v>0</v>
      </c>
      <c r="AH74" s="2">
        <v>2199.84</v>
      </c>
      <c r="AI74" s="2">
        <v>0</v>
      </c>
      <c r="AJ74" s="2">
        <v>4039.1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1">
        <v>70</v>
      </c>
    </row>
    <row r="75" spans="1:49" ht="12.75">
      <c r="A75" s="5">
        <v>1410</v>
      </c>
      <c r="B75" s="2" t="s">
        <v>220</v>
      </c>
      <c r="C75" s="305">
        <v>0</v>
      </c>
      <c r="D75" s="305">
        <v>0</v>
      </c>
      <c r="E75" s="305">
        <v>9319.98</v>
      </c>
      <c r="F75" s="305">
        <v>0</v>
      </c>
      <c r="G75" s="305">
        <v>0</v>
      </c>
      <c r="H75" s="305">
        <v>0</v>
      </c>
      <c r="I75" s="305">
        <v>0</v>
      </c>
      <c r="J75" s="1" t="s">
        <v>770</v>
      </c>
      <c r="K75" s="3" t="s">
        <v>982</v>
      </c>
      <c r="L75" s="365">
        <v>44561</v>
      </c>
      <c r="M75" s="2">
        <v>0</v>
      </c>
      <c r="N75" s="311">
        <v>140</v>
      </c>
      <c r="O75" s="310" t="s">
        <v>81</v>
      </c>
      <c r="P75" s="309">
        <v>40</v>
      </c>
      <c r="Q75" s="60" t="s">
        <v>456</v>
      </c>
      <c r="R75" s="309">
        <v>2001</v>
      </c>
      <c r="S75" s="60" t="s">
        <v>203</v>
      </c>
      <c r="T75" s="61">
        <v>200</v>
      </c>
      <c r="U75" s="60" t="s">
        <v>499</v>
      </c>
      <c r="V75" s="1">
        <v>3</v>
      </c>
      <c r="W75" s="1" t="s">
        <v>34</v>
      </c>
      <c r="X75" s="1" t="s">
        <v>1033</v>
      </c>
      <c r="Y75" s="2">
        <v>-252.76</v>
      </c>
      <c r="Z75" s="2">
        <v>-71.54</v>
      </c>
      <c r="AA75" s="2">
        <v>-512.79</v>
      </c>
      <c r="AB75" s="2">
        <v>-362.83</v>
      </c>
      <c r="AC75" s="2">
        <v>-1408.83</v>
      </c>
      <c r="AD75" s="365">
        <v>-777.23</v>
      </c>
      <c r="AE75" s="365">
        <v>-1825.58</v>
      </c>
      <c r="AF75" s="365">
        <v>-2430.81</v>
      </c>
      <c r="AG75" s="2">
        <v>-1677.61</v>
      </c>
      <c r="AH75" s="2">
        <v>0</v>
      </c>
      <c r="AI75" s="2">
        <v>0</v>
      </c>
      <c r="AJ75" s="2">
        <v>9319.98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1">
        <v>71</v>
      </c>
    </row>
    <row r="76" spans="1:49" ht="12.75">
      <c r="A76" s="5">
        <v>1410</v>
      </c>
      <c r="B76" s="2" t="s">
        <v>1043</v>
      </c>
      <c r="C76" s="305">
        <v>0</v>
      </c>
      <c r="D76" s="305">
        <v>0</v>
      </c>
      <c r="E76" s="305">
        <v>-792.68</v>
      </c>
      <c r="F76" s="305">
        <v>0</v>
      </c>
      <c r="G76" s="305">
        <v>0</v>
      </c>
      <c r="H76" s="305">
        <v>0</v>
      </c>
      <c r="I76" s="305">
        <v>0</v>
      </c>
      <c r="J76" s="1" t="s">
        <v>1044</v>
      </c>
      <c r="K76" s="3" t="s">
        <v>982</v>
      </c>
      <c r="L76" s="365">
        <v>44561</v>
      </c>
      <c r="M76" s="2">
        <v>0</v>
      </c>
      <c r="N76" s="311">
        <v>140</v>
      </c>
      <c r="O76" s="310" t="s">
        <v>81</v>
      </c>
      <c r="P76" s="309">
        <v>40</v>
      </c>
      <c r="Q76" s="60" t="s">
        <v>456</v>
      </c>
      <c r="R76" s="309">
        <v>2001</v>
      </c>
      <c r="S76" s="60" t="s">
        <v>203</v>
      </c>
      <c r="T76" s="61">
        <v>200</v>
      </c>
      <c r="U76" s="60" t="s">
        <v>499</v>
      </c>
      <c r="V76" s="1">
        <v>3</v>
      </c>
      <c r="W76" s="1" t="s">
        <v>34</v>
      </c>
      <c r="X76" s="1" t="s">
        <v>1045</v>
      </c>
      <c r="Y76" s="2">
        <v>0</v>
      </c>
      <c r="Z76" s="2">
        <v>0</v>
      </c>
      <c r="AA76" s="2">
        <v>0</v>
      </c>
      <c r="AB76" s="2">
        <v>932.61</v>
      </c>
      <c r="AC76" s="2">
        <v>0</v>
      </c>
      <c r="AD76" s="365">
        <v>0</v>
      </c>
      <c r="AE76" s="365">
        <v>-139.93</v>
      </c>
      <c r="AF76" s="365">
        <v>0</v>
      </c>
      <c r="AG76" s="2">
        <v>0</v>
      </c>
      <c r="AH76" s="2">
        <v>0</v>
      </c>
      <c r="AI76" s="2">
        <v>0</v>
      </c>
      <c r="AJ76" s="2">
        <v>-792.68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1">
        <v>72</v>
      </c>
    </row>
    <row r="77" spans="1:49" ht="12.75">
      <c r="A77" s="5">
        <v>1410</v>
      </c>
      <c r="B77" s="2" t="s">
        <v>221</v>
      </c>
      <c r="C77" s="305">
        <v>0</v>
      </c>
      <c r="D77" s="305">
        <v>0</v>
      </c>
      <c r="E77" s="305">
        <v>745.91</v>
      </c>
      <c r="F77" s="305">
        <v>0</v>
      </c>
      <c r="G77" s="305">
        <v>0</v>
      </c>
      <c r="H77" s="305">
        <v>0</v>
      </c>
      <c r="I77" s="305">
        <v>0</v>
      </c>
      <c r="J77" s="1" t="s">
        <v>771</v>
      </c>
      <c r="K77" s="3" t="s">
        <v>982</v>
      </c>
      <c r="L77" s="365">
        <v>44561</v>
      </c>
      <c r="M77" s="2">
        <v>0</v>
      </c>
      <c r="N77" s="311">
        <v>140</v>
      </c>
      <c r="O77" s="310" t="s">
        <v>81</v>
      </c>
      <c r="P77" s="309">
        <v>40</v>
      </c>
      <c r="Q77" s="60" t="s">
        <v>456</v>
      </c>
      <c r="R77" s="309">
        <v>2001</v>
      </c>
      <c r="S77" s="60" t="s">
        <v>203</v>
      </c>
      <c r="T77" s="61">
        <v>200</v>
      </c>
      <c r="U77" s="60" t="s">
        <v>499</v>
      </c>
      <c r="V77" s="1">
        <v>3</v>
      </c>
      <c r="W77" s="1" t="s">
        <v>34</v>
      </c>
      <c r="X77" s="1" t="s">
        <v>1046</v>
      </c>
      <c r="Y77" s="2">
        <v>0</v>
      </c>
      <c r="Z77" s="2">
        <v>-78.96</v>
      </c>
      <c r="AA77" s="2">
        <v>-118.44</v>
      </c>
      <c r="AB77" s="2">
        <v>-39.48</v>
      </c>
      <c r="AC77" s="2">
        <v>-218.41</v>
      </c>
      <c r="AD77" s="365">
        <v>-151.15</v>
      </c>
      <c r="AE77" s="365">
        <v>-92.98</v>
      </c>
      <c r="AF77" s="365">
        <v>-46.49</v>
      </c>
      <c r="AG77" s="2">
        <v>0</v>
      </c>
      <c r="AH77" s="2">
        <v>0</v>
      </c>
      <c r="AI77" s="2">
        <v>0</v>
      </c>
      <c r="AJ77" s="2">
        <v>745.91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1">
        <v>73</v>
      </c>
    </row>
    <row r="78" spans="1:49" ht="12.75">
      <c r="A78" s="5">
        <v>1410</v>
      </c>
      <c r="B78" s="2" t="s">
        <v>222</v>
      </c>
      <c r="C78" s="305">
        <v>0</v>
      </c>
      <c r="D78" s="305">
        <v>0</v>
      </c>
      <c r="E78" s="305">
        <v>-6131.55</v>
      </c>
      <c r="F78" s="305">
        <v>0</v>
      </c>
      <c r="G78" s="305">
        <v>0</v>
      </c>
      <c r="H78" s="305">
        <v>0</v>
      </c>
      <c r="I78" s="305">
        <v>0</v>
      </c>
      <c r="J78" s="1" t="s">
        <v>772</v>
      </c>
      <c r="K78" s="3" t="s">
        <v>982</v>
      </c>
      <c r="L78" s="365">
        <v>44561</v>
      </c>
      <c r="M78" s="2">
        <v>0</v>
      </c>
      <c r="N78" s="311">
        <v>140</v>
      </c>
      <c r="O78" s="310" t="s">
        <v>81</v>
      </c>
      <c r="P78" s="309">
        <v>40</v>
      </c>
      <c r="Q78" s="60" t="s">
        <v>456</v>
      </c>
      <c r="R78" s="309">
        <v>5021</v>
      </c>
      <c r="S78" s="60" t="s">
        <v>201</v>
      </c>
      <c r="T78" s="61">
        <v>130</v>
      </c>
      <c r="U78" s="60" t="s">
        <v>502</v>
      </c>
      <c r="V78" s="1">
        <v>3</v>
      </c>
      <c r="W78" s="1" t="s">
        <v>34</v>
      </c>
      <c r="X78" s="1" t="s">
        <v>1009</v>
      </c>
      <c r="Y78" s="2">
        <v>-3069.65</v>
      </c>
      <c r="Z78" s="2">
        <v>-250.63</v>
      </c>
      <c r="AA78" s="2">
        <v>4471.71</v>
      </c>
      <c r="AB78" s="2">
        <v>-234.61</v>
      </c>
      <c r="AC78" s="2">
        <v>1188.35</v>
      </c>
      <c r="AD78" s="365">
        <v>-5705.17</v>
      </c>
      <c r="AE78" s="365">
        <v>1823.05</v>
      </c>
      <c r="AF78" s="365">
        <v>376.37</v>
      </c>
      <c r="AG78" s="2">
        <v>2289.62</v>
      </c>
      <c r="AH78" s="2">
        <v>1642.51</v>
      </c>
      <c r="AI78" s="2">
        <v>0</v>
      </c>
      <c r="AJ78" s="2">
        <v>-6131.55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1">
        <v>74</v>
      </c>
    </row>
    <row r="79" spans="1:49" ht="12.75">
      <c r="A79" s="5">
        <v>1410</v>
      </c>
      <c r="B79" s="2" t="s">
        <v>773</v>
      </c>
      <c r="C79" s="305">
        <v>24049.07</v>
      </c>
      <c r="D79" s="305">
        <v>0</v>
      </c>
      <c r="E79" s="305">
        <v>91732.29</v>
      </c>
      <c r="F79" s="305">
        <v>82100</v>
      </c>
      <c r="G79" s="305">
        <v>0</v>
      </c>
      <c r="H79" s="305">
        <v>75000</v>
      </c>
      <c r="I79" s="305">
        <v>75000</v>
      </c>
      <c r="J79" s="1" t="s">
        <v>774</v>
      </c>
      <c r="K79" s="3" t="s">
        <v>982</v>
      </c>
      <c r="L79" s="365">
        <v>44926</v>
      </c>
      <c r="M79" s="2">
        <v>82100</v>
      </c>
      <c r="N79" s="311">
        <v>140</v>
      </c>
      <c r="O79" s="310" t="s">
        <v>81</v>
      </c>
      <c r="P79" s="309">
        <v>40</v>
      </c>
      <c r="Q79" s="60" t="s">
        <v>456</v>
      </c>
      <c r="R79" s="309">
        <v>5011</v>
      </c>
      <c r="S79" s="60" t="s">
        <v>209</v>
      </c>
      <c r="T79" s="61">
        <v>210</v>
      </c>
      <c r="U79" s="60" t="s">
        <v>500</v>
      </c>
      <c r="V79" s="1">
        <v>3</v>
      </c>
      <c r="W79" s="1" t="s">
        <v>34</v>
      </c>
      <c r="X79" s="1" t="s">
        <v>1005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365">
        <v>0</v>
      </c>
      <c r="AE79" s="365">
        <v>0</v>
      </c>
      <c r="AF79" s="365">
        <v>0</v>
      </c>
      <c r="AG79" s="2">
        <v>0</v>
      </c>
      <c r="AH79" s="2">
        <v>-18803.66</v>
      </c>
      <c r="AI79" s="2">
        <v>2071.37</v>
      </c>
      <c r="AJ79" s="2">
        <v>91732.29</v>
      </c>
      <c r="AK79" s="2">
        <v>28991.6</v>
      </c>
      <c r="AL79" s="2">
        <v>-1352.15</v>
      </c>
      <c r="AM79" s="2">
        <v>41120.36</v>
      </c>
      <c r="AN79" s="2">
        <v>-11314.51</v>
      </c>
      <c r="AO79" s="2">
        <v>26257.18</v>
      </c>
      <c r="AP79" s="2">
        <v>-3288.8</v>
      </c>
      <c r="AQ79" s="2">
        <v>18132.21</v>
      </c>
      <c r="AR79" s="2">
        <v>-89945.89</v>
      </c>
      <c r="AS79" s="2">
        <v>-3407.71</v>
      </c>
      <c r="AT79" s="2">
        <v>-7208</v>
      </c>
      <c r="AU79" s="2">
        <v>-14933.36</v>
      </c>
      <c r="AV79" s="2">
        <v>24049.07</v>
      </c>
      <c r="AW79" s="1">
        <v>75</v>
      </c>
    </row>
    <row r="80" spans="1:49" ht="12.75">
      <c r="A80" s="5">
        <v>1410</v>
      </c>
      <c r="B80" s="2" t="s">
        <v>775</v>
      </c>
      <c r="C80" s="305">
        <v>34155.14</v>
      </c>
      <c r="D80" s="305">
        <v>0</v>
      </c>
      <c r="E80" s="305">
        <v>17000.13</v>
      </c>
      <c r="F80" s="305">
        <v>0</v>
      </c>
      <c r="G80" s="305">
        <v>0</v>
      </c>
      <c r="H80" s="305">
        <v>0</v>
      </c>
      <c r="I80" s="305">
        <v>0</v>
      </c>
      <c r="J80" s="1" t="s">
        <v>776</v>
      </c>
      <c r="K80" s="3" t="s">
        <v>982</v>
      </c>
      <c r="L80" s="365">
        <v>44926</v>
      </c>
      <c r="M80" s="2">
        <v>0</v>
      </c>
      <c r="N80" s="311">
        <v>140</v>
      </c>
      <c r="O80" s="310" t="s">
        <v>81</v>
      </c>
      <c r="P80" s="309">
        <v>40</v>
      </c>
      <c r="Q80" s="60" t="s">
        <v>456</v>
      </c>
      <c r="R80" s="309">
        <v>5011</v>
      </c>
      <c r="S80" s="60" t="s">
        <v>209</v>
      </c>
      <c r="T80" s="61">
        <v>210</v>
      </c>
      <c r="U80" s="60" t="s">
        <v>500</v>
      </c>
      <c r="V80" s="1">
        <v>3</v>
      </c>
      <c r="W80" s="1" t="s">
        <v>34</v>
      </c>
      <c r="X80" s="1" t="s">
        <v>1005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365">
        <v>0</v>
      </c>
      <c r="AE80" s="365">
        <v>0</v>
      </c>
      <c r="AF80" s="365">
        <v>0</v>
      </c>
      <c r="AG80" s="2">
        <v>0</v>
      </c>
      <c r="AH80" s="2">
        <v>-6048.76</v>
      </c>
      <c r="AI80" s="2">
        <v>-10951.37</v>
      </c>
      <c r="AJ80" s="2">
        <v>17000.13</v>
      </c>
      <c r="AK80" s="2">
        <v>-17824.14</v>
      </c>
      <c r="AL80" s="2">
        <v>-17295.14</v>
      </c>
      <c r="AM80" s="2">
        <v>-24089.1</v>
      </c>
      <c r="AN80" s="2">
        <v>-23674.72</v>
      </c>
      <c r="AO80" s="2">
        <v>-11417.93</v>
      </c>
      <c r="AP80" s="2">
        <v>-10593.27</v>
      </c>
      <c r="AQ80" s="2">
        <v>-10935.04</v>
      </c>
      <c r="AR80" s="2">
        <v>115829.34</v>
      </c>
      <c r="AS80" s="2">
        <v>-10433.71</v>
      </c>
      <c r="AT80" s="2">
        <v>-9086.13</v>
      </c>
      <c r="AU80" s="2">
        <v>-14635.3</v>
      </c>
      <c r="AV80" s="2">
        <v>34155.14</v>
      </c>
      <c r="AW80" s="1">
        <v>76</v>
      </c>
    </row>
    <row r="81" spans="1:49" ht="12.75">
      <c r="A81" s="5">
        <v>1410</v>
      </c>
      <c r="B81" s="2" t="s">
        <v>777</v>
      </c>
      <c r="C81" s="305">
        <v>9585</v>
      </c>
      <c r="D81" s="305">
        <v>0</v>
      </c>
      <c r="E81" s="305">
        <v>8254.4</v>
      </c>
      <c r="F81" s="305">
        <v>0</v>
      </c>
      <c r="G81" s="305">
        <v>0</v>
      </c>
      <c r="H81" s="305">
        <v>0</v>
      </c>
      <c r="I81" s="305">
        <v>0</v>
      </c>
      <c r="J81" s="1" t="s">
        <v>778</v>
      </c>
      <c r="K81" s="3" t="s">
        <v>982</v>
      </c>
      <c r="L81" s="365">
        <v>44926</v>
      </c>
      <c r="M81" s="2">
        <v>0</v>
      </c>
      <c r="N81" s="311">
        <v>140</v>
      </c>
      <c r="O81" s="310" t="s">
        <v>81</v>
      </c>
      <c r="P81" s="309">
        <v>40</v>
      </c>
      <c r="Q81" s="60" t="s">
        <v>456</v>
      </c>
      <c r="R81" s="309">
        <v>5012</v>
      </c>
      <c r="S81" s="60" t="s">
        <v>212</v>
      </c>
      <c r="T81" s="61">
        <v>211</v>
      </c>
      <c r="U81" s="60" t="s">
        <v>506</v>
      </c>
      <c r="V81" s="1">
        <v>3</v>
      </c>
      <c r="W81" s="1" t="s">
        <v>34</v>
      </c>
      <c r="X81" s="1" t="s">
        <v>1004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365">
        <v>0</v>
      </c>
      <c r="AE81" s="365">
        <v>0</v>
      </c>
      <c r="AF81" s="365">
        <v>0</v>
      </c>
      <c r="AG81" s="2">
        <v>0</v>
      </c>
      <c r="AH81" s="2">
        <v>-2844.8</v>
      </c>
      <c r="AI81" s="2">
        <v>-5409.6</v>
      </c>
      <c r="AJ81" s="2">
        <v>8254.4</v>
      </c>
      <c r="AK81" s="2">
        <v>-5331.2</v>
      </c>
      <c r="AL81" s="2">
        <v>-3057.6</v>
      </c>
      <c r="AM81" s="2">
        <v>-359.52</v>
      </c>
      <c r="AN81" s="2">
        <v>-9736</v>
      </c>
      <c r="AO81" s="2">
        <v>-4980</v>
      </c>
      <c r="AP81" s="2">
        <v>-4785</v>
      </c>
      <c r="AQ81" s="2">
        <v>-3285</v>
      </c>
      <c r="AR81" s="2">
        <v>31534.32</v>
      </c>
      <c r="AS81" s="2">
        <v>-3315</v>
      </c>
      <c r="AT81" s="2">
        <v>-2700</v>
      </c>
      <c r="AU81" s="2">
        <v>-3570</v>
      </c>
      <c r="AV81" s="2">
        <v>9585</v>
      </c>
      <c r="AW81" s="1">
        <v>77</v>
      </c>
    </row>
    <row r="82" spans="1:49" ht="12.75">
      <c r="A82" s="5">
        <v>1410</v>
      </c>
      <c r="B82" s="2" t="s">
        <v>1047</v>
      </c>
      <c r="C82" s="305">
        <v>0</v>
      </c>
      <c r="D82" s="305">
        <v>0</v>
      </c>
      <c r="E82" s="305">
        <v>-252.96</v>
      </c>
      <c r="F82" s="305">
        <v>0</v>
      </c>
      <c r="G82" s="305">
        <v>0</v>
      </c>
      <c r="H82" s="305">
        <v>0</v>
      </c>
      <c r="I82" s="305">
        <v>0</v>
      </c>
      <c r="J82" s="1" t="s">
        <v>1048</v>
      </c>
      <c r="K82" s="3" t="s">
        <v>982</v>
      </c>
      <c r="L82" s="365">
        <v>44561</v>
      </c>
      <c r="M82" s="2">
        <v>0</v>
      </c>
      <c r="N82" s="311">
        <v>140</v>
      </c>
      <c r="O82" s="310" t="s">
        <v>81</v>
      </c>
      <c r="P82" s="309">
        <v>40</v>
      </c>
      <c r="Q82" s="60" t="s">
        <v>456</v>
      </c>
      <c r="R82" s="309">
        <v>5021</v>
      </c>
      <c r="S82" s="60" t="s">
        <v>201</v>
      </c>
      <c r="T82" s="61">
        <v>120</v>
      </c>
      <c r="U82" s="60" t="s">
        <v>382</v>
      </c>
      <c r="V82" s="1">
        <v>3</v>
      </c>
      <c r="W82" s="1" t="s">
        <v>34</v>
      </c>
      <c r="X82" s="1" t="s">
        <v>1049</v>
      </c>
      <c r="Y82" s="2">
        <v>0</v>
      </c>
      <c r="Z82" s="2">
        <v>0</v>
      </c>
      <c r="AA82" s="2">
        <v>146.04</v>
      </c>
      <c r="AB82" s="2">
        <v>146.04</v>
      </c>
      <c r="AC82" s="2">
        <v>146.04</v>
      </c>
      <c r="AD82" s="365">
        <v>-438.12</v>
      </c>
      <c r="AE82" s="365">
        <v>0</v>
      </c>
      <c r="AF82" s="365">
        <v>126.48</v>
      </c>
      <c r="AG82" s="2">
        <v>126.48</v>
      </c>
      <c r="AH82" s="2">
        <v>0</v>
      </c>
      <c r="AI82" s="2">
        <v>0</v>
      </c>
      <c r="AJ82" s="2">
        <v>-252.96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1">
        <v>78</v>
      </c>
    </row>
    <row r="83" spans="1:49" ht="12.75">
      <c r="A83" s="5">
        <v>1410</v>
      </c>
      <c r="B83" s="2" t="s">
        <v>779</v>
      </c>
      <c r="C83" s="305">
        <v>0</v>
      </c>
      <c r="D83" s="305">
        <v>0</v>
      </c>
      <c r="E83" s="305">
        <v>-8722.33</v>
      </c>
      <c r="F83" s="305">
        <v>0</v>
      </c>
      <c r="G83" s="305">
        <v>0</v>
      </c>
      <c r="H83" s="305">
        <v>0</v>
      </c>
      <c r="I83" s="305">
        <v>0</v>
      </c>
      <c r="J83" s="1" t="s">
        <v>780</v>
      </c>
      <c r="K83" s="3" t="s">
        <v>982</v>
      </c>
      <c r="L83" s="365">
        <v>44561</v>
      </c>
      <c r="M83" s="2">
        <v>0</v>
      </c>
      <c r="N83" s="311">
        <v>140</v>
      </c>
      <c r="O83" s="310" t="s">
        <v>81</v>
      </c>
      <c r="P83" s="309">
        <v>40</v>
      </c>
      <c r="Q83" s="60" t="s">
        <v>456</v>
      </c>
      <c r="R83" s="309">
        <v>5021</v>
      </c>
      <c r="S83" s="60" t="s">
        <v>201</v>
      </c>
      <c r="T83" s="61">
        <v>120</v>
      </c>
      <c r="U83" s="60" t="s">
        <v>382</v>
      </c>
      <c r="V83" s="1">
        <v>3</v>
      </c>
      <c r="W83" s="1" t="s">
        <v>34</v>
      </c>
      <c r="X83" s="1" t="s">
        <v>1050</v>
      </c>
      <c r="Y83" s="2">
        <v>1204.94</v>
      </c>
      <c r="Z83" s="2">
        <v>1349.87</v>
      </c>
      <c r="AA83" s="2">
        <v>2496.45</v>
      </c>
      <c r="AB83" s="2">
        <v>1540.66</v>
      </c>
      <c r="AC83" s="2">
        <v>4048.14</v>
      </c>
      <c r="AD83" s="365">
        <v>-15840.06</v>
      </c>
      <c r="AE83" s="365">
        <v>1869.05</v>
      </c>
      <c r="AF83" s="365">
        <v>3265.28</v>
      </c>
      <c r="AG83" s="2">
        <v>1868.4</v>
      </c>
      <c r="AH83" s="2">
        <v>1719.6</v>
      </c>
      <c r="AI83" s="2">
        <v>0</v>
      </c>
      <c r="AJ83" s="2">
        <v>-8722.33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1">
        <v>79</v>
      </c>
    </row>
    <row r="84" spans="1:49" ht="12.75">
      <c r="A84" s="5">
        <v>1410</v>
      </c>
      <c r="B84" s="2" t="s">
        <v>223</v>
      </c>
      <c r="C84" s="305">
        <v>0</v>
      </c>
      <c r="D84" s="305">
        <v>0</v>
      </c>
      <c r="E84" s="305">
        <v>-88124.96</v>
      </c>
      <c r="F84" s="305">
        <v>0</v>
      </c>
      <c r="G84" s="305">
        <v>0</v>
      </c>
      <c r="H84" s="305">
        <v>0</v>
      </c>
      <c r="I84" s="305">
        <v>0</v>
      </c>
      <c r="J84" s="1" t="s">
        <v>781</v>
      </c>
      <c r="K84" s="3" t="s">
        <v>982</v>
      </c>
      <c r="L84" s="365">
        <v>44561</v>
      </c>
      <c r="M84" s="2">
        <v>0</v>
      </c>
      <c r="N84" s="311">
        <v>140</v>
      </c>
      <c r="O84" s="310" t="s">
        <v>81</v>
      </c>
      <c r="P84" s="309">
        <v>40</v>
      </c>
      <c r="Q84" s="60" t="s">
        <v>456</v>
      </c>
      <c r="R84" s="309">
        <v>5022</v>
      </c>
      <c r="S84" s="60" t="s">
        <v>202</v>
      </c>
      <c r="T84" s="61">
        <v>180</v>
      </c>
      <c r="U84" s="60" t="s">
        <v>385</v>
      </c>
      <c r="V84" s="1">
        <v>3</v>
      </c>
      <c r="W84" s="1" t="s">
        <v>34</v>
      </c>
      <c r="X84" s="1" t="s">
        <v>1025</v>
      </c>
      <c r="Y84" s="2">
        <v>-6082.85</v>
      </c>
      <c r="Z84" s="2">
        <v>-3220.97</v>
      </c>
      <c r="AA84" s="2">
        <v>38901.21</v>
      </c>
      <c r="AB84" s="2">
        <v>-14076.43</v>
      </c>
      <c r="AC84" s="2">
        <v>36290.67</v>
      </c>
      <c r="AD84" s="365">
        <v>-87911.63</v>
      </c>
      <c r="AE84" s="365">
        <v>-9949.56</v>
      </c>
      <c r="AF84" s="365">
        <v>-7809.44</v>
      </c>
      <c r="AG84" s="2">
        <v>1582.3</v>
      </c>
      <c r="AH84" s="2">
        <v>28501.66</v>
      </c>
      <c r="AI84" s="2">
        <v>0</v>
      </c>
      <c r="AJ84" s="2">
        <v>-88124.96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1">
        <v>80</v>
      </c>
    </row>
    <row r="85" spans="1:49" ht="12.75">
      <c r="A85" s="5">
        <v>1410</v>
      </c>
      <c r="B85" s="2" t="s">
        <v>224</v>
      </c>
      <c r="C85" s="305">
        <v>0</v>
      </c>
      <c r="D85" s="305">
        <v>0</v>
      </c>
      <c r="E85" s="305">
        <v>-5611.56</v>
      </c>
      <c r="F85" s="305">
        <v>0</v>
      </c>
      <c r="G85" s="305">
        <v>0</v>
      </c>
      <c r="H85" s="305">
        <v>0</v>
      </c>
      <c r="I85" s="305">
        <v>0</v>
      </c>
      <c r="J85" s="1" t="s">
        <v>782</v>
      </c>
      <c r="K85" s="3" t="s">
        <v>982</v>
      </c>
      <c r="L85" s="365">
        <v>44561</v>
      </c>
      <c r="M85" s="2">
        <v>0</v>
      </c>
      <c r="N85" s="311">
        <v>140</v>
      </c>
      <c r="O85" s="310" t="s">
        <v>81</v>
      </c>
      <c r="P85" s="309">
        <v>40</v>
      </c>
      <c r="Q85" s="60" t="s">
        <v>456</v>
      </c>
      <c r="R85" s="309">
        <v>5022</v>
      </c>
      <c r="S85" s="60" t="s">
        <v>202</v>
      </c>
      <c r="T85" s="61">
        <v>180</v>
      </c>
      <c r="U85" s="60" t="s">
        <v>385</v>
      </c>
      <c r="V85" s="1">
        <v>3</v>
      </c>
      <c r="W85" s="1" t="s">
        <v>34</v>
      </c>
      <c r="X85" s="1" t="s">
        <v>1027</v>
      </c>
      <c r="Y85" s="2">
        <v>-963</v>
      </c>
      <c r="Z85" s="2">
        <v>2152.42</v>
      </c>
      <c r="AA85" s="2">
        <v>-1203.48</v>
      </c>
      <c r="AB85" s="2">
        <v>-1162.6</v>
      </c>
      <c r="AC85" s="2">
        <v>1648.77</v>
      </c>
      <c r="AD85" s="365">
        <v>1927.89</v>
      </c>
      <c r="AE85" s="365">
        <v>529.16</v>
      </c>
      <c r="AF85" s="365">
        <v>-1464.16</v>
      </c>
      <c r="AG85" s="2">
        <v>2338.81</v>
      </c>
      <c r="AH85" s="2">
        <v>1807.75</v>
      </c>
      <c r="AI85" s="2">
        <v>0</v>
      </c>
      <c r="AJ85" s="2">
        <v>-5611.56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1">
        <v>81</v>
      </c>
    </row>
    <row r="86" spans="1:49" ht="12.75">
      <c r="A86" s="5">
        <v>1410</v>
      </c>
      <c r="B86" s="2" t="s">
        <v>225</v>
      </c>
      <c r="C86" s="305">
        <v>0</v>
      </c>
      <c r="D86" s="305">
        <v>0</v>
      </c>
      <c r="E86" s="305">
        <v>-25838.73</v>
      </c>
      <c r="F86" s="305">
        <v>0</v>
      </c>
      <c r="G86" s="305">
        <v>0</v>
      </c>
      <c r="H86" s="305">
        <v>0</v>
      </c>
      <c r="I86" s="305">
        <v>0</v>
      </c>
      <c r="J86" s="1" t="s">
        <v>783</v>
      </c>
      <c r="K86" s="3" t="s">
        <v>982</v>
      </c>
      <c r="L86" s="365">
        <v>44561</v>
      </c>
      <c r="M86" s="2">
        <v>0</v>
      </c>
      <c r="N86" s="311">
        <v>140</v>
      </c>
      <c r="O86" s="310" t="s">
        <v>81</v>
      </c>
      <c r="P86" s="309">
        <v>40</v>
      </c>
      <c r="Q86" s="60" t="s">
        <v>456</v>
      </c>
      <c r="R86" s="309">
        <v>5022</v>
      </c>
      <c r="S86" s="60" t="s">
        <v>202</v>
      </c>
      <c r="T86" s="61">
        <v>180</v>
      </c>
      <c r="U86" s="60" t="s">
        <v>385</v>
      </c>
      <c r="V86" s="1">
        <v>3</v>
      </c>
      <c r="W86" s="1" t="s">
        <v>34</v>
      </c>
      <c r="X86" s="1" t="s">
        <v>1027</v>
      </c>
      <c r="Y86" s="2">
        <v>-2759.67</v>
      </c>
      <c r="Z86" s="2">
        <v>-1472.84</v>
      </c>
      <c r="AA86" s="2">
        <v>14829.37</v>
      </c>
      <c r="AB86" s="2">
        <v>10208.18</v>
      </c>
      <c r="AC86" s="2">
        <v>3074.11</v>
      </c>
      <c r="AD86" s="365">
        <v>-9379.15</v>
      </c>
      <c r="AE86" s="365">
        <v>5377.77</v>
      </c>
      <c r="AF86" s="365">
        <v>-8344.77</v>
      </c>
      <c r="AG86" s="2">
        <v>4620.03</v>
      </c>
      <c r="AH86" s="2">
        <v>9685.7</v>
      </c>
      <c r="AI86" s="2">
        <v>0</v>
      </c>
      <c r="AJ86" s="2">
        <v>-25838.73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1">
        <v>82</v>
      </c>
    </row>
    <row r="87" spans="1:49" ht="12.75">
      <c r="A87" s="5">
        <v>1410</v>
      </c>
      <c r="B87" s="2" t="s">
        <v>226</v>
      </c>
      <c r="C87" s="305">
        <v>0</v>
      </c>
      <c r="D87" s="305">
        <v>0</v>
      </c>
      <c r="E87" s="305">
        <v>-70649.17</v>
      </c>
      <c r="F87" s="305">
        <v>0</v>
      </c>
      <c r="G87" s="305">
        <v>0</v>
      </c>
      <c r="H87" s="305">
        <v>0</v>
      </c>
      <c r="I87" s="305">
        <v>0</v>
      </c>
      <c r="J87" s="1" t="s">
        <v>784</v>
      </c>
      <c r="K87" s="3" t="s">
        <v>982</v>
      </c>
      <c r="L87" s="365">
        <v>44561</v>
      </c>
      <c r="M87" s="2">
        <v>0</v>
      </c>
      <c r="N87" s="311">
        <v>140</v>
      </c>
      <c r="O87" s="310" t="s">
        <v>81</v>
      </c>
      <c r="P87" s="309">
        <v>40</v>
      </c>
      <c r="Q87" s="60" t="s">
        <v>456</v>
      </c>
      <c r="R87" s="309">
        <v>5022</v>
      </c>
      <c r="S87" s="60" t="s">
        <v>202</v>
      </c>
      <c r="T87" s="61">
        <v>180</v>
      </c>
      <c r="U87" s="60" t="s">
        <v>385</v>
      </c>
      <c r="V87" s="1">
        <v>3</v>
      </c>
      <c r="W87" s="1" t="s">
        <v>34</v>
      </c>
      <c r="X87" s="1" t="s">
        <v>1026</v>
      </c>
      <c r="Y87" s="2">
        <v>-4474.04</v>
      </c>
      <c r="Z87" s="2">
        <v>1563.1</v>
      </c>
      <c r="AA87" s="2">
        <v>6839.37</v>
      </c>
      <c r="AB87" s="2">
        <v>-1574.85</v>
      </c>
      <c r="AC87" s="2">
        <v>-7229.25</v>
      </c>
      <c r="AD87" s="365">
        <v>48975.67</v>
      </c>
      <c r="AE87" s="365">
        <v>-5231.92</v>
      </c>
      <c r="AF87" s="365">
        <v>-860.08</v>
      </c>
      <c r="AG87" s="2">
        <v>7556.87</v>
      </c>
      <c r="AH87" s="2">
        <v>25084.3</v>
      </c>
      <c r="AI87" s="2">
        <v>0</v>
      </c>
      <c r="AJ87" s="2">
        <v>-70649.17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1">
        <v>83</v>
      </c>
    </row>
    <row r="88" spans="1:49" ht="12.75">
      <c r="A88" s="5">
        <v>1410</v>
      </c>
      <c r="B88" s="2" t="s">
        <v>227</v>
      </c>
      <c r="C88" s="305">
        <v>0</v>
      </c>
      <c r="D88" s="305">
        <v>0</v>
      </c>
      <c r="E88" s="305">
        <v>-3408.6</v>
      </c>
      <c r="F88" s="305">
        <v>0</v>
      </c>
      <c r="G88" s="305">
        <v>0</v>
      </c>
      <c r="H88" s="305">
        <v>0</v>
      </c>
      <c r="I88" s="305">
        <v>0</v>
      </c>
      <c r="J88" s="1" t="s">
        <v>785</v>
      </c>
      <c r="K88" s="3" t="s">
        <v>982</v>
      </c>
      <c r="L88" s="365">
        <v>44561</v>
      </c>
      <c r="M88" s="2">
        <v>0</v>
      </c>
      <c r="N88" s="311">
        <v>140</v>
      </c>
      <c r="O88" s="310" t="s">
        <v>81</v>
      </c>
      <c r="P88" s="309">
        <v>40</v>
      </c>
      <c r="Q88" s="60" t="s">
        <v>456</v>
      </c>
      <c r="R88" s="309">
        <v>5022</v>
      </c>
      <c r="S88" s="60" t="s">
        <v>202</v>
      </c>
      <c r="T88" s="61">
        <v>180</v>
      </c>
      <c r="U88" s="60" t="s">
        <v>385</v>
      </c>
      <c r="V88" s="1">
        <v>3</v>
      </c>
      <c r="W88" s="1" t="s">
        <v>34</v>
      </c>
      <c r="X88" s="1" t="s">
        <v>1027</v>
      </c>
      <c r="Y88" s="2">
        <v>-988.52</v>
      </c>
      <c r="Z88" s="2">
        <v>-607.15</v>
      </c>
      <c r="AA88" s="2">
        <v>-891</v>
      </c>
      <c r="AB88" s="2">
        <v>-411.16</v>
      </c>
      <c r="AC88" s="2">
        <v>-1442.22</v>
      </c>
      <c r="AD88" s="365">
        <v>6140.05</v>
      </c>
      <c r="AE88" s="365">
        <v>-505.61</v>
      </c>
      <c r="AF88" s="365">
        <v>1898.61</v>
      </c>
      <c r="AG88" s="2">
        <v>-415.2</v>
      </c>
      <c r="AH88" s="2">
        <v>630.8</v>
      </c>
      <c r="AI88" s="2">
        <v>0</v>
      </c>
      <c r="AJ88" s="2">
        <v>-3408.6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1">
        <v>84</v>
      </c>
    </row>
    <row r="89" spans="1:49" ht="12.75">
      <c r="A89" s="5">
        <v>1410</v>
      </c>
      <c r="B89" s="2" t="s">
        <v>228</v>
      </c>
      <c r="C89" s="305">
        <v>0</v>
      </c>
      <c r="D89" s="305">
        <v>0</v>
      </c>
      <c r="E89" s="305">
        <v>-950.12</v>
      </c>
      <c r="F89" s="305">
        <v>0</v>
      </c>
      <c r="G89" s="305">
        <v>0</v>
      </c>
      <c r="H89" s="305">
        <v>0</v>
      </c>
      <c r="I89" s="305">
        <v>0</v>
      </c>
      <c r="J89" s="1" t="s">
        <v>786</v>
      </c>
      <c r="K89" s="3" t="s">
        <v>982</v>
      </c>
      <c r="L89" s="365">
        <v>44561</v>
      </c>
      <c r="M89" s="2">
        <v>0</v>
      </c>
      <c r="N89" s="311">
        <v>140</v>
      </c>
      <c r="O89" s="310" t="s">
        <v>81</v>
      </c>
      <c r="P89" s="309">
        <v>40</v>
      </c>
      <c r="Q89" s="60" t="s">
        <v>456</v>
      </c>
      <c r="R89" s="309">
        <v>5022</v>
      </c>
      <c r="S89" s="60" t="s">
        <v>202</v>
      </c>
      <c r="T89" s="61">
        <v>180</v>
      </c>
      <c r="U89" s="60" t="s">
        <v>385</v>
      </c>
      <c r="V89" s="1">
        <v>3</v>
      </c>
      <c r="W89" s="1" t="s">
        <v>34</v>
      </c>
      <c r="X89" s="1" t="s">
        <v>1027</v>
      </c>
      <c r="Y89" s="2">
        <v>-1229.15</v>
      </c>
      <c r="Z89" s="2">
        <v>-463.94</v>
      </c>
      <c r="AA89" s="2">
        <v>-62.74</v>
      </c>
      <c r="AB89" s="2">
        <v>-811.19</v>
      </c>
      <c r="AC89" s="2">
        <v>-2133.4</v>
      </c>
      <c r="AD89" s="365">
        <v>-920.46</v>
      </c>
      <c r="AE89" s="365">
        <v>-573.5</v>
      </c>
      <c r="AF89" s="365">
        <v>6194.38</v>
      </c>
      <c r="AG89" s="2">
        <v>950.12</v>
      </c>
      <c r="AH89" s="2">
        <v>0</v>
      </c>
      <c r="AI89" s="2">
        <v>0</v>
      </c>
      <c r="AJ89" s="2">
        <v>-950.12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1">
        <v>85</v>
      </c>
    </row>
    <row r="90" spans="1:49" ht="12.75">
      <c r="A90" s="5">
        <v>1410</v>
      </c>
      <c r="B90" s="2" t="s">
        <v>229</v>
      </c>
      <c r="C90" s="305">
        <v>0</v>
      </c>
      <c r="D90" s="305">
        <v>0</v>
      </c>
      <c r="E90" s="305">
        <v>-35061.06</v>
      </c>
      <c r="F90" s="305">
        <v>0</v>
      </c>
      <c r="G90" s="305">
        <v>0</v>
      </c>
      <c r="H90" s="305">
        <v>0</v>
      </c>
      <c r="I90" s="305">
        <v>0</v>
      </c>
      <c r="J90" s="1" t="s">
        <v>787</v>
      </c>
      <c r="K90" s="3" t="s">
        <v>982</v>
      </c>
      <c r="L90" s="365">
        <v>44561</v>
      </c>
      <c r="M90" s="2">
        <v>0</v>
      </c>
      <c r="N90" s="311">
        <v>140</v>
      </c>
      <c r="O90" s="310" t="s">
        <v>81</v>
      </c>
      <c r="P90" s="309">
        <v>40</v>
      </c>
      <c r="Q90" s="60" t="s">
        <v>456</v>
      </c>
      <c r="R90" s="309">
        <v>5024</v>
      </c>
      <c r="S90" s="60" t="s">
        <v>155</v>
      </c>
      <c r="T90" s="61">
        <v>190</v>
      </c>
      <c r="U90" s="60" t="s">
        <v>503</v>
      </c>
      <c r="V90" s="1">
        <v>3</v>
      </c>
      <c r="W90" s="1" t="s">
        <v>34</v>
      </c>
      <c r="X90" s="1" t="s">
        <v>1028</v>
      </c>
      <c r="Y90" s="2">
        <v>1706.9</v>
      </c>
      <c r="Z90" s="2">
        <v>-3262.14</v>
      </c>
      <c r="AA90" s="2">
        <v>2200.73</v>
      </c>
      <c r="AB90" s="2">
        <v>188.12</v>
      </c>
      <c r="AC90" s="2">
        <v>4606.94</v>
      </c>
      <c r="AD90" s="365">
        <v>-2473.75</v>
      </c>
      <c r="AE90" s="365">
        <v>2748.81</v>
      </c>
      <c r="AF90" s="365">
        <v>6281.74</v>
      </c>
      <c r="AG90" s="2">
        <v>1105.67</v>
      </c>
      <c r="AH90" s="2">
        <v>8558.04</v>
      </c>
      <c r="AI90" s="2">
        <v>0</v>
      </c>
      <c r="AJ90" s="2">
        <v>-35061.06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1">
        <v>86</v>
      </c>
    </row>
    <row r="91" spans="1:49" ht="12.75">
      <c r="A91" s="5">
        <v>1410</v>
      </c>
      <c r="B91" s="2" t="s">
        <v>230</v>
      </c>
      <c r="C91" s="305">
        <v>0</v>
      </c>
      <c r="D91" s="305">
        <v>0</v>
      </c>
      <c r="E91" s="305">
        <v>-95355.92</v>
      </c>
      <c r="F91" s="305">
        <v>0</v>
      </c>
      <c r="G91" s="305">
        <v>0</v>
      </c>
      <c r="H91" s="305">
        <v>0</v>
      </c>
      <c r="I91" s="305">
        <v>0</v>
      </c>
      <c r="J91" s="1" t="s">
        <v>789</v>
      </c>
      <c r="K91" s="3" t="s">
        <v>982</v>
      </c>
      <c r="L91" s="365">
        <v>44561</v>
      </c>
      <c r="M91" s="2">
        <v>0</v>
      </c>
      <c r="N91" s="311">
        <v>140</v>
      </c>
      <c r="O91" s="310" t="s">
        <v>81</v>
      </c>
      <c r="P91" s="309">
        <v>40</v>
      </c>
      <c r="Q91" s="60" t="s">
        <v>456</v>
      </c>
      <c r="R91" s="309">
        <v>5024</v>
      </c>
      <c r="S91" s="60" t="s">
        <v>155</v>
      </c>
      <c r="T91" s="61">
        <v>190</v>
      </c>
      <c r="U91" s="60" t="s">
        <v>503</v>
      </c>
      <c r="V91" s="1">
        <v>3</v>
      </c>
      <c r="W91" s="1" t="s">
        <v>34</v>
      </c>
      <c r="X91" s="1" t="s">
        <v>1051</v>
      </c>
      <c r="Y91" s="2">
        <v>14075.48</v>
      </c>
      <c r="Z91" s="2">
        <v>-6621.45</v>
      </c>
      <c r="AA91" s="2">
        <v>-2760</v>
      </c>
      <c r="AB91" s="2">
        <v>-9301.63</v>
      </c>
      <c r="AC91" s="2">
        <v>-3748.33</v>
      </c>
      <c r="AD91" s="365">
        <v>1958.79</v>
      </c>
      <c r="AE91" s="365">
        <v>7102.93</v>
      </c>
      <c r="AF91" s="365">
        <v>1441.13</v>
      </c>
      <c r="AG91" s="2">
        <v>11750</v>
      </c>
      <c r="AH91" s="2">
        <v>7859</v>
      </c>
      <c r="AI91" s="2">
        <v>0</v>
      </c>
      <c r="AJ91" s="2">
        <v>-95355.92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1">
        <v>87</v>
      </c>
    </row>
    <row r="92" spans="1:49" ht="12.75">
      <c r="A92" s="5">
        <v>1410</v>
      </c>
      <c r="B92" s="2" t="s">
        <v>231</v>
      </c>
      <c r="C92" s="305">
        <v>0</v>
      </c>
      <c r="D92" s="305">
        <v>0</v>
      </c>
      <c r="E92" s="305">
        <v>10290.16</v>
      </c>
      <c r="F92" s="305">
        <v>0</v>
      </c>
      <c r="G92" s="305">
        <v>0</v>
      </c>
      <c r="H92" s="305">
        <v>0</v>
      </c>
      <c r="I92" s="305">
        <v>0</v>
      </c>
      <c r="J92" s="1" t="s">
        <v>790</v>
      </c>
      <c r="K92" s="3" t="s">
        <v>982</v>
      </c>
      <c r="L92" s="365">
        <v>44561</v>
      </c>
      <c r="M92" s="2">
        <v>0</v>
      </c>
      <c r="N92" s="311">
        <v>140</v>
      </c>
      <c r="O92" s="310" t="s">
        <v>81</v>
      </c>
      <c r="P92" s="309">
        <v>40</v>
      </c>
      <c r="Q92" s="60" t="s">
        <v>456</v>
      </c>
      <c r="R92" s="309">
        <v>5024</v>
      </c>
      <c r="S92" s="60" t="s">
        <v>155</v>
      </c>
      <c r="T92" s="61">
        <v>190</v>
      </c>
      <c r="U92" s="60" t="s">
        <v>503</v>
      </c>
      <c r="V92" s="1">
        <v>3</v>
      </c>
      <c r="W92" s="1" t="s">
        <v>34</v>
      </c>
      <c r="X92" s="1" t="s">
        <v>1029</v>
      </c>
      <c r="Y92" s="2">
        <v>-5820.74</v>
      </c>
      <c r="Z92" s="2">
        <v>-4105.3</v>
      </c>
      <c r="AA92" s="2">
        <v>-459.11</v>
      </c>
      <c r="AB92" s="2">
        <v>-647.45</v>
      </c>
      <c r="AC92" s="2">
        <v>-621.49</v>
      </c>
      <c r="AD92" s="365">
        <v>-370.13</v>
      </c>
      <c r="AE92" s="365">
        <v>591.7</v>
      </c>
      <c r="AF92" s="365">
        <v>-1301.8</v>
      </c>
      <c r="AG92" s="2">
        <v>-2955.84</v>
      </c>
      <c r="AH92" s="2">
        <v>0</v>
      </c>
      <c r="AI92" s="2">
        <v>0</v>
      </c>
      <c r="AJ92" s="2">
        <v>10290.16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1">
        <v>88</v>
      </c>
    </row>
    <row r="93" spans="1:49" ht="12.75">
      <c r="A93" s="5">
        <v>1410</v>
      </c>
      <c r="B93" s="2" t="s">
        <v>232</v>
      </c>
      <c r="C93" s="305">
        <v>-1856</v>
      </c>
      <c r="D93" s="305">
        <v>0</v>
      </c>
      <c r="E93" s="305">
        <v>-141417.49</v>
      </c>
      <c r="F93" s="305">
        <v>0</v>
      </c>
      <c r="G93" s="305">
        <v>0</v>
      </c>
      <c r="H93" s="305">
        <v>0</v>
      </c>
      <c r="I93" s="305">
        <v>0</v>
      </c>
      <c r="J93" s="1" t="s">
        <v>791</v>
      </c>
      <c r="K93" s="3" t="s">
        <v>982</v>
      </c>
      <c r="L93" s="365">
        <v>44561</v>
      </c>
      <c r="M93" s="2">
        <v>0</v>
      </c>
      <c r="N93" s="311">
        <v>140</v>
      </c>
      <c r="O93" s="310" t="s">
        <v>81</v>
      </c>
      <c r="P93" s="309">
        <v>40</v>
      </c>
      <c r="Q93" s="60" t="s">
        <v>456</v>
      </c>
      <c r="R93" s="309">
        <v>5024</v>
      </c>
      <c r="S93" s="60" t="s">
        <v>155</v>
      </c>
      <c r="T93" s="61">
        <v>200</v>
      </c>
      <c r="U93" s="60" t="s">
        <v>499</v>
      </c>
      <c r="V93" s="1">
        <v>3</v>
      </c>
      <c r="W93" s="1" t="s">
        <v>34</v>
      </c>
      <c r="X93" s="1" t="s">
        <v>1032</v>
      </c>
      <c r="Y93" s="2">
        <v>1137.55</v>
      </c>
      <c r="Z93" s="2">
        <v>-14780.35</v>
      </c>
      <c r="AA93" s="2">
        <v>26657.11</v>
      </c>
      <c r="AB93" s="2">
        <v>-765.29</v>
      </c>
      <c r="AC93" s="2">
        <v>-18674.74</v>
      </c>
      <c r="AD93" s="365">
        <v>-1894.19</v>
      </c>
      <c r="AE93" s="365">
        <v>-12315.86</v>
      </c>
      <c r="AF93" s="365">
        <v>-3898.24</v>
      </c>
      <c r="AG93" s="2">
        <v>44245.17</v>
      </c>
      <c r="AH93" s="2">
        <v>48806.33</v>
      </c>
      <c r="AI93" s="2">
        <v>0</v>
      </c>
      <c r="AJ93" s="2">
        <v>-141417.49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1856</v>
      </c>
      <c r="AT93" s="2">
        <v>0</v>
      </c>
      <c r="AU93" s="2">
        <v>0</v>
      </c>
      <c r="AV93" s="2">
        <v>-1856</v>
      </c>
      <c r="AW93" s="1">
        <v>89</v>
      </c>
    </row>
    <row r="94" spans="1:49" ht="12.75">
      <c r="A94" s="5">
        <v>1410</v>
      </c>
      <c r="B94" s="2" t="s">
        <v>233</v>
      </c>
      <c r="C94" s="305">
        <v>0</v>
      </c>
      <c r="D94" s="305">
        <v>0</v>
      </c>
      <c r="E94" s="305">
        <v>-2343.84</v>
      </c>
      <c r="F94" s="305">
        <v>0</v>
      </c>
      <c r="G94" s="305">
        <v>0</v>
      </c>
      <c r="H94" s="305">
        <v>0</v>
      </c>
      <c r="I94" s="305">
        <v>0</v>
      </c>
      <c r="J94" s="1" t="s">
        <v>792</v>
      </c>
      <c r="K94" s="3" t="s">
        <v>982</v>
      </c>
      <c r="L94" s="365">
        <v>44561</v>
      </c>
      <c r="M94" s="2">
        <v>0</v>
      </c>
      <c r="N94" s="311">
        <v>140</v>
      </c>
      <c r="O94" s="310" t="s">
        <v>81</v>
      </c>
      <c r="P94" s="309">
        <v>40</v>
      </c>
      <c r="Q94" s="60" t="s">
        <v>456</v>
      </c>
      <c r="R94" s="309">
        <v>5024</v>
      </c>
      <c r="S94" s="60" t="s">
        <v>155</v>
      </c>
      <c r="T94" s="61">
        <v>170</v>
      </c>
      <c r="U94" s="60" t="s">
        <v>501</v>
      </c>
      <c r="V94" s="1">
        <v>3</v>
      </c>
      <c r="W94" s="1" t="s">
        <v>34</v>
      </c>
      <c r="X94" s="1" t="s">
        <v>1052</v>
      </c>
      <c r="Y94" s="2">
        <v>-3345.93</v>
      </c>
      <c r="Z94" s="2">
        <v>-1175.42</v>
      </c>
      <c r="AA94" s="2">
        <v>765.51</v>
      </c>
      <c r="AB94" s="2">
        <v>304.68</v>
      </c>
      <c r="AC94" s="2">
        <v>-298.3</v>
      </c>
      <c r="AD94" s="365">
        <v>94.75</v>
      </c>
      <c r="AE94" s="365">
        <v>-743.1</v>
      </c>
      <c r="AF94" s="365">
        <v>-301.41</v>
      </c>
      <c r="AG94" s="2">
        <v>0</v>
      </c>
      <c r="AH94" s="2">
        <v>443.06</v>
      </c>
      <c r="AI94" s="2">
        <v>0</v>
      </c>
      <c r="AJ94" s="2">
        <v>-2343.84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1">
        <v>90</v>
      </c>
    </row>
    <row r="95" spans="1:49" ht="12.75">
      <c r="A95" s="5">
        <v>1410</v>
      </c>
      <c r="B95" s="2" t="s">
        <v>234</v>
      </c>
      <c r="C95" s="305">
        <v>0</v>
      </c>
      <c r="D95" s="305">
        <v>0</v>
      </c>
      <c r="E95" s="305">
        <v>-111366.52</v>
      </c>
      <c r="F95" s="305">
        <v>0</v>
      </c>
      <c r="G95" s="305">
        <v>0</v>
      </c>
      <c r="H95" s="305">
        <v>0</v>
      </c>
      <c r="I95" s="305">
        <v>0</v>
      </c>
      <c r="J95" s="1" t="s">
        <v>793</v>
      </c>
      <c r="K95" s="3" t="s">
        <v>982</v>
      </c>
      <c r="L95" s="365">
        <v>44561</v>
      </c>
      <c r="M95" s="2">
        <v>0</v>
      </c>
      <c r="N95" s="311">
        <v>140</v>
      </c>
      <c r="O95" s="310" t="s">
        <v>81</v>
      </c>
      <c r="P95" s="309">
        <v>40</v>
      </c>
      <c r="Q95" s="60" t="s">
        <v>456</v>
      </c>
      <c r="R95" s="309">
        <v>5024</v>
      </c>
      <c r="S95" s="60" t="s">
        <v>155</v>
      </c>
      <c r="T95" s="61">
        <v>190</v>
      </c>
      <c r="U95" s="60" t="s">
        <v>503</v>
      </c>
      <c r="V95" s="1">
        <v>3</v>
      </c>
      <c r="W95" s="1" t="s">
        <v>34</v>
      </c>
      <c r="X95" s="1" t="s">
        <v>1030</v>
      </c>
      <c r="Y95" s="2">
        <v>30439.65</v>
      </c>
      <c r="Z95" s="2">
        <v>3070.43</v>
      </c>
      <c r="AA95" s="2">
        <v>40739.97</v>
      </c>
      <c r="AB95" s="2">
        <v>-10981.02</v>
      </c>
      <c r="AC95" s="2">
        <v>9907.18</v>
      </c>
      <c r="AD95" s="365">
        <v>11913.89</v>
      </c>
      <c r="AE95" s="365">
        <v>-2218.66</v>
      </c>
      <c r="AF95" s="365">
        <v>-2052.91</v>
      </c>
      <c r="AG95" s="2">
        <v>6347.99</v>
      </c>
      <c r="AH95" s="2">
        <v>0</v>
      </c>
      <c r="AI95" s="2">
        <v>0</v>
      </c>
      <c r="AJ95" s="2">
        <v>-111366.52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1">
        <v>91</v>
      </c>
    </row>
    <row r="96" spans="1:49" ht="12.75">
      <c r="A96" s="5">
        <v>1410</v>
      </c>
      <c r="B96" s="2" t="s">
        <v>235</v>
      </c>
      <c r="C96" s="305">
        <v>0</v>
      </c>
      <c r="D96" s="305">
        <v>0</v>
      </c>
      <c r="E96" s="305">
        <v>5714.7</v>
      </c>
      <c r="F96" s="305">
        <v>0</v>
      </c>
      <c r="G96" s="305">
        <v>0</v>
      </c>
      <c r="H96" s="305">
        <v>0</v>
      </c>
      <c r="I96" s="305">
        <v>0</v>
      </c>
      <c r="J96" s="1" t="s">
        <v>794</v>
      </c>
      <c r="K96" s="3" t="s">
        <v>982</v>
      </c>
      <c r="L96" s="365">
        <v>44561</v>
      </c>
      <c r="M96" s="2">
        <v>0</v>
      </c>
      <c r="N96" s="311">
        <v>140</v>
      </c>
      <c r="O96" s="310" t="s">
        <v>81</v>
      </c>
      <c r="P96" s="309">
        <v>40</v>
      </c>
      <c r="Q96" s="60" t="s">
        <v>456</v>
      </c>
      <c r="R96" s="309">
        <v>5024</v>
      </c>
      <c r="S96" s="60" t="s">
        <v>155</v>
      </c>
      <c r="T96" s="61">
        <v>200</v>
      </c>
      <c r="U96" s="60" t="s">
        <v>499</v>
      </c>
      <c r="V96" s="1">
        <v>3</v>
      </c>
      <c r="W96" s="1" t="s">
        <v>34</v>
      </c>
      <c r="X96" s="1" t="s">
        <v>1031</v>
      </c>
      <c r="Y96" s="2">
        <v>19119.47</v>
      </c>
      <c r="Z96" s="2">
        <v>-3054.88</v>
      </c>
      <c r="AA96" s="2">
        <v>-4259.75</v>
      </c>
      <c r="AB96" s="2">
        <v>-2902.44</v>
      </c>
      <c r="AC96" s="2">
        <v>-6161.85</v>
      </c>
      <c r="AD96" s="365">
        <v>-3699.06</v>
      </c>
      <c r="AE96" s="365">
        <v>-4693.73</v>
      </c>
      <c r="AF96" s="365">
        <v>-3038.08</v>
      </c>
      <c r="AG96" s="2">
        <v>1306.45</v>
      </c>
      <c r="AH96" s="2">
        <v>1669.17</v>
      </c>
      <c r="AI96" s="2">
        <v>0</v>
      </c>
      <c r="AJ96" s="2">
        <v>5714.7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1">
        <v>92</v>
      </c>
    </row>
    <row r="97" spans="1:49" ht="12.75">
      <c r="A97" s="5">
        <v>1410</v>
      </c>
      <c r="B97" s="2" t="s">
        <v>236</v>
      </c>
      <c r="C97" s="305">
        <v>0</v>
      </c>
      <c r="D97" s="305">
        <v>0</v>
      </c>
      <c r="E97" s="305">
        <v>-3537.94</v>
      </c>
      <c r="F97" s="305">
        <v>0</v>
      </c>
      <c r="G97" s="305">
        <v>0</v>
      </c>
      <c r="H97" s="305">
        <v>0</v>
      </c>
      <c r="I97" s="305">
        <v>0</v>
      </c>
      <c r="J97" s="1" t="s">
        <v>795</v>
      </c>
      <c r="K97" s="3" t="s">
        <v>982</v>
      </c>
      <c r="L97" s="365">
        <v>44561</v>
      </c>
      <c r="M97" s="2">
        <v>0</v>
      </c>
      <c r="N97" s="311">
        <v>140</v>
      </c>
      <c r="O97" s="310" t="s">
        <v>81</v>
      </c>
      <c r="P97" s="309">
        <v>40</v>
      </c>
      <c r="Q97" s="60" t="s">
        <v>456</v>
      </c>
      <c r="R97" s="309">
        <v>5025</v>
      </c>
      <c r="S97" s="60" t="s">
        <v>204</v>
      </c>
      <c r="T97" s="61">
        <v>140</v>
      </c>
      <c r="U97" s="60" t="s">
        <v>504</v>
      </c>
      <c r="V97" s="1">
        <v>3</v>
      </c>
      <c r="W97" s="1" t="s">
        <v>34</v>
      </c>
      <c r="X97" s="1" t="s">
        <v>1010</v>
      </c>
      <c r="Y97" s="2">
        <v>-7550.8</v>
      </c>
      <c r="Z97" s="2">
        <v>-1597.65</v>
      </c>
      <c r="AA97" s="2">
        <v>9999.94</v>
      </c>
      <c r="AB97" s="2">
        <v>-9792.09</v>
      </c>
      <c r="AC97" s="2">
        <v>-13352.67</v>
      </c>
      <c r="AD97" s="365">
        <v>-2975.17</v>
      </c>
      <c r="AE97" s="365">
        <v>-1399.6</v>
      </c>
      <c r="AF97" s="365">
        <v>-4529.36</v>
      </c>
      <c r="AG97" s="2">
        <v>-3663.34</v>
      </c>
      <c r="AH97" s="2">
        <v>14498.68</v>
      </c>
      <c r="AI97" s="2">
        <v>0</v>
      </c>
      <c r="AJ97" s="2">
        <v>-3537.94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1">
        <v>93</v>
      </c>
    </row>
    <row r="98" spans="1:49" ht="12.75">
      <c r="A98" s="5">
        <v>1410</v>
      </c>
      <c r="B98" s="2" t="s">
        <v>796</v>
      </c>
      <c r="C98" s="305">
        <v>-5591.24</v>
      </c>
      <c r="D98" s="305">
        <v>0</v>
      </c>
      <c r="E98" s="305">
        <v>6103.85</v>
      </c>
      <c r="F98" s="305">
        <v>3400</v>
      </c>
      <c r="G98" s="305">
        <v>0</v>
      </c>
      <c r="H98" s="305">
        <v>4700</v>
      </c>
      <c r="I98" s="305">
        <v>4700</v>
      </c>
      <c r="J98" s="1" t="s">
        <v>797</v>
      </c>
      <c r="K98" s="3" t="s">
        <v>982</v>
      </c>
      <c r="L98" s="365">
        <v>44926</v>
      </c>
      <c r="M98" s="2">
        <v>3400</v>
      </c>
      <c r="N98" s="311">
        <v>140</v>
      </c>
      <c r="O98" s="310" t="s">
        <v>81</v>
      </c>
      <c r="P98" s="309">
        <v>40</v>
      </c>
      <c r="Q98" s="60" t="s">
        <v>456</v>
      </c>
      <c r="R98" s="309">
        <v>5025</v>
      </c>
      <c r="S98" s="60" t="s">
        <v>204</v>
      </c>
      <c r="T98" s="61">
        <v>250</v>
      </c>
      <c r="U98" s="60" t="s">
        <v>505</v>
      </c>
      <c r="V98" s="1">
        <v>3</v>
      </c>
      <c r="W98" s="1" t="s">
        <v>34</v>
      </c>
      <c r="X98" s="1" t="s">
        <v>1053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365">
        <v>0</v>
      </c>
      <c r="AE98" s="365">
        <v>0</v>
      </c>
      <c r="AF98" s="365">
        <v>0</v>
      </c>
      <c r="AG98" s="2">
        <v>0</v>
      </c>
      <c r="AH98" s="2">
        <v>-1939</v>
      </c>
      <c r="AI98" s="2">
        <v>535.15</v>
      </c>
      <c r="AJ98" s="2">
        <v>6103.85</v>
      </c>
      <c r="AK98" s="2">
        <v>-1553.62</v>
      </c>
      <c r="AL98" s="2">
        <v>695</v>
      </c>
      <c r="AM98" s="2">
        <v>778.52</v>
      </c>
      <c r="AN98" s="2">
        <v>1638.81</v>
      </c>
      <c r="AO98" s="2">
        <v>-1087.53</v>
      </c>
      <c r="AP98" s="2">
        <v>660.9</v>
      </c>
      <c r="AQ98" s="2">
        <v>-75.21</v>
      </c>
      <c r="AR98" s="2">
        <v>675.52</v>
      </c>
      <c r="AS98" s="2">
        <v>724.9</v>
      </c>
      <c r="AT98" s="2">
        <v>177.52</v>
      </c>
      <c r="AU98" s="2">
        <v>1656.43</v>
      </c>
      <c r="AV98" s="2">
        <v>-5591.24</v>
      </c>
      <c r="AW98" s="1">
        <v>94</v>
      </c>
    </row>
    <row r="99" spans="1:49" ht="12.75">
      <c r="A99" s="5">
        <v>1410</v>
      </c>
      <c r="B99" s="2" t="s">
        <v>237</v>
      </c>
      <c r="C99" s="305">
        <v>0</v>
      </c>
      <c r="D99" s="305">
        <v>0</v>
      </c>
      <c r="E99" s="305">
        <v>-11690.83</v>
      </c>
      <c r="F99" s="305">
        <v>0</v>
      </c>
      <c r="G99" s="305">
        <v>0</v>
      </c>
      <c r="H99" s="305">
        <v>0</v>
      </c>
      <c r="I99" s="305">
        <v>0</v>
      </c>
      <c r="J99" s="1" t="s">
        <v>798</v>
      </c>
      <c r="K99" s="3" t="s">
        <v>982</v>
      </c>
      <c r="L99" s="365">
        <v>44561</v>
      </c>
      <c r="M99" s="2">
        <v>0</v>
      </c>
      <c r="N99" s="311">
        <v>140</v>
      </c>
      <c r="O99" s="310" t="s">
        <v>81</v>
      </c>
      <c r="P99" s="309">
        <v>40</v>
      </c>
      <c r="Q99" s="60" t="s">
        <v>456</v>
      </c>
      <c r="R99" s="309">
        <v>5025</v>
      </c>
      <c r="S99" s="60" t="s">
        <v>204</v>
      </c>
      <c r="T99" s="61">
        <v>140</v>
      </c>
      <c r="U99" s="60" t="s">
        <v>504</v>
      </c>
      <c r="V99" s="1">
        <v>3</v>
      </c>
      <c r="W99" s="1" t="s">
        <v>34</v>
      </c>
      <c r="X99" s="1" t="s">
        <v>1012</v>
      </c>
      <c r="Y99" s="2">
        <v>796.7</v>
      </c>
      <c r="Z99" s="2">
        <v>460.75</v>
      </c>
      <c r="AA99" s="2">
        <v>2554.37</v>
      </c>
      <c r="AB99" s="2">
        <v>-994.14</v>
      </c>
      <c r="AC99" s="2">
        <v>3803.03</v>
      </c>
      <c r="AD99" s="365">
        <v>-426.67</v>
      </c>
      <c r="AE99" s="365">
        <v>1937.25</v>
      </c>
      <c r="AF99" s="365">
        <v>494.09</v>
      </c>
      <c r="AG99" s="2">
        <v>1506.1</v>
      </c>
      <c r="AH99" s="2">
        <v>1559.35</v>
      </c>
      <c r="AI99" s="2">
        <v>0</v>
      </c>
      <c r="AJ99" s="2">
        <v>-11690.83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1">
        <v>95</v>
      </c>
    </row>
    <row r="100" spans="1:49" ht="12.75">
      <c r="A100" s="5">
        <v>1410</v>
      </c>
      <c r="B100" s="2" t="s">
        <v>799</v>
      </c>
      <c r="C100" s="305">
        <v>0</v>
      </c>
      <c r="D100" s="305">
        <v>0</v>
      </c>
      <c r="E100" s="305">
        <v>16867.51</v>
      </c>
      <c r="F100" s="305">
        <v>0</v>
      </c>
      <c r="G100" s="305">
        <v>0</v>
      </c>
      <c r="H100" s="305">
        <v>0</v>
      </c>
      <c r="I100" s="305">
        <v>0</v>
      </c>
      <c r="J100" s="1" t="s">
        <v>800</v>
      </c>
      <c r="K100" s="3" t="s">
        <v>982</v>
      </c>
      <c r="L100" s="365">
        <v>44561</v>
      </c>
      <c r="M100" s="2">
        <v>0</v>
      </c>
      <c r="N100" s="311">
        <v>140</v>
      </c>
      <c r="O100" s="310" t="s">
        <v>81</v>
      </c>
      <c r="P100" s="309">
        <v>40</v>
      </c>
      <c r="Q100" s="60" t="s">
        <v>456</v>
      </c>
      <c r="R100" s="309">
        <v>5025</v>
      </c>
      <c r="S100" s="60" t="s">
        <v>204</v>
      </c>
      <c r="T100" s="61">
        <v>140</v>
      </c>
      <c r="U100" s="60" t="s">
        <v>504</v>
      </c>
      <c r="V100" s="1">
        <v>3</v>
      </c>
      <c r="W100" s="1" t="s">
        <v>34</v>
      </c>
      <c r="X100" s="1" t="s">
        <v>1011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365">
        <v>0</v>
      </c>
      <c r="AE100" s="365">
        <v>0</v>
      </c>
      <c r="AF100" s="365">
        <v>-3744.91</v>
      </c>
      <c r="AG100" s="2">
        <v>-13122.6</v>
      </c>
      <c r="AH100" s="2">
        <v>0</v>
      </c>
      <c r="AI100" s="2">
        <v>0</v>
      </c>
      <c r="AJ100" s="2">
        <v>16867.51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1">
        <v>96</v>
      </c>
    </row>
    <row r="101" spans="1:49" ht="12.75">
      <c r="A101" s="5">
        <v>1410</v>
      </c>
      <c r="B101" s="2" t="s">
        <v>238</v>
      </c>
      <c r="C101" s="305">
        <v>0</v>
      </c>
      <c r="D101" s="305">
        <v>0</v>
      </c>
      <c r="E101" s="305">
        <v>4576.48</v>
      </c>
      <c r="F101" s="305">
        <v>0</v>
      </c>
      <c r="G101" s="305">
        <v>0</v>
      </c>
      <c r="H101" s="305">
        <v>0</v>
      </c>
      <c r="I101" s="305">
        <v>0</v>
      </c>
      <c r="J101" s="1" t="s">
        <v>801</v>
      </c>
      <c r="K101" s="3" t="s">
        <v>982</v>
      </c>
      <c r="L101" s="365">
        <v>44561</v>
      </c>
      <c r="M101" s="2">
        <v>0</v>
      </c>
      <c r="N101" s="311">
        <v>140</v>
      </c>
      <c r="O101" s="310" t="s">
        <v>81</v>
      </c>
      <c r="P101" s="309">
        <v>40</v>
      </c>
      <c r="Q101" s="60" t="s">
        <v>456</v>
      </c>
      <c r="R101" s="309">
        <v>5025</v>
      </c>
      <c r="S101" s="60" t="s">
        <v>204</v>
      </c>
      <c r="T101" s="61">
        <v>140</v>
      </c>
      <c r="U101" s="60" t="s">
        <v>504</v>
      </c>
      <c r="V101" s="1">
        <v>3</v>
      </c>
      <c r="W101" s="1" t="s">
        <v>34</v>
      </c>
      <c r="X101" s="1" t="s">
        <v>1054</v>
      </c>
      <c r="Y101" s="2">
        <v>-3035.33</v>
      </c>
      <c r="Z101" s="2">
        <v>557.1</v>
      </c>
      <c r="AA101" s="2">
        <v>363.26</v>
      </c>
      <c r="AB101" s="2">
        <v>-5729.62</v>
      </c>
      <c r="AC101" s="2">
        <v>-6402.1</v>
      </c>
      <c r="AD101" s="365">
        <v>-4833.72</v>
      </c>
      <c r="AE101" s="365">
        <v>-5795.25</v>
      </c>
      <c r="AF101" s="365">
        <v>1308.04</v>
      </c>
      <c r="AG101" s="2">
        <v>9024.68</v>
      </c>
      <c r="AH101" s="2">
        <v>7766.46</v>
      </c>
      <c r="AI101" s="2">
        <v>0</v>
      </c>
      <c r="AJ101" s="2">
        <v>4576.48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1">
        <v>97</v>
      </c>
    </row>
    <row r="102" spans="1:49" ht="12.75">
      <c r="A102" s="5">
        <v>1410</v>
      </c>
      <c r="B102" s="2" t="s">
        <v>239</v>
      </c>
      <c r="C102" s="305">
        <v>0</v>
      </c>
      <c r="D102" s="305">
        <v>0</v>
      </c>
      <c r="E102" s="305">
        <v>2159.74</v>
      </c>
      <c r="F102" s="305">
        <v>0</v>
      </c>
      <c r="G102" s="305">
        <v>0</v>
      </c>
      <c r="H102" s="305">
        <v>0</v>
      </c>
      <c r="I102" s="305">
        <v>0</v>
      </c>
      <c r="J102" s="1" t="s">
        <v>802</v>
      </c>
      <c r="K102" s="3" t="s">
        <v>982</v>
      </c>
      <c r="L102" s="365">
        <v>44561</v>
      </c>
      <c r="M102" s="2">
        <v>0</v>
      </c>
      <c r="N102" s="311">
        <v>140</v>
      </c>
      <c r="O102" s="310" t="s">
        <v>81</v>
      </c>
      <c r="P102" s="309">
        <v>40</v>
      </c>
      <c r="Q102" s="60" t="s">
        <v>456</v>
      </c>
      <c r="R102" s="309">
        <v>5025</v>
      </c>
      <c r="S102" s="60" t="s">
        <v>204</v>
      </c>
      <c r="T102" s="61">
        <v>140</v>
      </c>
      <c r="U102" s="60" t="s">
        <v>504</v>
      </c>
      <c r="V102" s="1">
        <v>3</v>
      </c>
      <c r="W102" s="1" t="s">
        <v>34</v>
      </c>
      <c r="X102" s="1" t="s">
        <v>1013</v>
      </c>
      <c r="Y102" s="2">
        <v>326.74</v>
      </c>
      <c r="Z102" s="2">
        <v>198.75</v>
      </c>
      <c r="AA102" s="2">
        <v>859.77</v>
      </c>
      <c r="AB102" s="2">
        <v>751.53</v>
      </c>
      <c r="AC102" s="2">
        <v>743.79</v>
      </c>
      <c r="AD102" s="365">
        <v>859.77</v>
      </c>
      <c r="AE102" s="365">
        <v>454.31</v>
      </c>
      <c r="AF102" s="365">
        <v>-1706.49</v>
      </c>
      <c r="AG102" s="2">
        <v>-5262.86</v>
      </c>
      <c r="AH102" s="2">
        <v>314.95</v>
      </c>
      <c r="AI102" s="2">
        <v>0</v>
      </c>
      <c r="AJ102" s="2">
        <v>2159.74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1">
        <v>98</v>
      </c>
    </row>
    <row r="103" spans="1:49" ht="12.75">
      <c r="A103" s="5">
        <v>1410</v>
      </c>
      <c r="B103" s="2" t="s">
        <v>240</v>
      </c>
      <c r="C103" s="305">
        <v>0</v>
      </c>
      <c r="D103" s="305">
        <v>0</v>
      </c>
      <c r="E103" s="305">
        <v>-9489.41</v>
      </c>
      <c r="F103" s="305">
        <v>0</v>
      </c>
      <c r="G103" s="305">
        <v>0</v>
      </c>
      <c r="H103" s="305">
        <v>0</v>
      </c>
      <c r="I103" s="305">
        <v>0</v>
      </c>
      <c r="J103" s="1" t="s">
        <v>803</v>
      </c>
      <c r="K103" s="3" t="s">
        <v>982</v>
      </c>
      <c r="L103" s="365">
        <v>44561</v>
      </c>
      <c r="M103" s="2">
        <v>0</v>
      </c>
      <c r="N103" s="311">
        <v>140</v>
      </c>
      <c r="O103" s="310" t="s">
        <v>81</v>
      </c>
      <c r="P103" s="309">
        <v>40</v>
      </c>
      <c r="Q103" s="60" t="s">
        <v>456</v>
      </c>
      <c r="R103" s="309">
        <v>5025</v>
      </c>
      <c r="S103" s="60" t="s">
        <v>204</v>
      </c>
      <c r="T103" s="61">
        <v>250</v>
      </c>
      <c r="U103" s="60" t="s">
        <v>505</v>
      </c>
      <c r="V103" s="1">
        <v>3</v>
      </c>
      <c r="W103" s="1" t="s">
        <v>34</v>
      </c>
      <c r="X103" s="1" t="s">
        <v>1053</v>
      </c>
      <c r="Y103" s="2">
        <v>-1036.38</v>
      </c>
      <c r="Z103" s="2">
        <v>1676.71</v>
      </c>
      <c r="AA103" s="2">
        <v>1556.87</v>
      </c>
      <c r="AB103" s="2">
        <v>-715.34</v>
      </c>
      <c r="AC103" s="2">
        <v>-1016.8</v>
      </c>
      <c r="AD103" s="365">
        <v>3691.39</v>
      </c>
      <c r="AE103" s="365">
        <v>466.86</v>
      </c>
      <c r="AF103" s="365">
        <v>-426.9</v>
      </c>
      <c r="AG103" s="2">
        <v>1390.91</v>
      </c>
      <c r="AH103" s="2">
        <v>3402.09</v>
      </c>
      <c r="AI103" s="2">
        <v>0</v>
      </c>
      <c r="AJ103" s="2">
        <v>-9489.41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1">
        <v>99</v>
      </c>
    </row>
    <row r="104" spans="1:49" ht="12.75">
      <c r="A104" s="5">
        <v>1410</v>
      </c>
      <c r="B104" s="2" t="s">
        <v>1055</v>
      </c>
      <c r="C104" s="305">
        <v>0</v>
      </c>
      <c r="D104" s="305">
        <v>0</v>
      </c>
      <c r="E104" s="305">
        <v>-15092.96</v>
      </c>
      <c r="F104" s="305">
        <v>0</v>
      </c>
      <c r="G104" s="305">
        <v>0</v>
      </c>
      <c r="H104" s="305">
        <v>0</v>
      </c>
      <c r="I104" s="305">
        <v>0</v>
      </c>
      <c r="J104" s="1" t="s">
        <v>1056</v>
      </c>
      <c r="K104" s="3" t="s">
        <v>982</v>
      </c>
      <c r="L104" s="365">
        <v>44561</v>
      </c>
      <c r="M104" s="2">
        <v>0</v>
      </c>
      <c r="N104" s="311">
        <v>140</v>
      </c>
      <c r="O104" s="310" t="s">
        <v>81</v>
      </c>
      <c r="P104" s="309">
        <v>40</v>
      </c>
      <c r="Q104" s="60" t="s">
        <v>456</v>
      </c>
      <c r="R104" s="309">
        <v>5025</v>
      </c>
      <c r="S104" s="60" t="s">
        <v>204</v>
      </c>
      <c r="T104" s="61">
        <v>140</v>
      </c>
      <c r="U104" s="60" t="s">
        <v>504</v>
      </c>
      <c r="V104" s="1">
        <v>3</v>
      </c>
      <c r="W104" s="1" t="s">
        <v>34</v>
      </c>
      <c r="X104" s="1" t="s">
        <v>1057</v>
      </c>
      <c r="Y104" s="2">
        <v>-17.25</v>
      </c>
      <c r="Z104" s="2">
        <v>1014.24</v>
      </c>
      <c r="AA104" s="2">
        <v>1128.93</v>
      </c>
      <c r="AB104" s="2">
        <v>3221.06</v>
      </c>
      <c r="AC104" s="2">
        <v>2974.9</v>
      </c>
      <c r="AD104" s="365">
        <v>1102.62</v>
      </c>
      <c r="AE104" s="365">
        <v>727.22</v>
      </c>
      <c r="AF104" s="365">
        <v>1037.31</v>
      </c>
      <c r="AG104" s="2">
        <v>3176.71</v>
      </c>
      <c r="AH104" s="2">
        <v>727.22</v>
      </c>
      <c r="AI104" s="2">
        <v>0</v>
      </c>
      <c r="AJ104" s="2">
        <v>-15092.96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1">
        <v>100</v>
      </c>
    </row>
    <row r="105" spans="1:49" ht="12.75">
      <c r="A105" s="5">
        <v>1410</v>
      </c>
      <c r="B105" s="2" t="s">
        <v>1058</v>
      </c>
      <c r="C105" s="305">
        <v>0</v>
      </c>
      <c r="D105" s="305">
        <v>0</v>
      </c>
      <c r="E105" s="305">
        <v>-189.12</v>
      </c>
      <c r="F105" s="305">
        <v>0</v>
      </c>
      <c r="G105" s="305">
        <v>0</v>
      </c>
      <c r="H105" s="305">
        <v>0</v>
      </c>
      <c r="I105" s="305">
        <v>0</v>
      </c>
      <c r="J105" s="1" t="s">
        <v>1059</v>
      </c>
      <c r="K105" s="3" t="s">
        <v>982</v>
      </c>
      <c r="L105" s="365">
        <v>44561</v>
      </c>
      <c r="M105" s="2">
        <v>0</v>
      </c>
      <c r="N105" s="311">
        <v>140</v>
      </c>
      <c r="O105" s="310" t="s">
        <v>81</v>
      </c>
      <c r="P105" s="309">
        <v>40</v>
      </c>
      <c r="Q105" s="60" t="s">
        <v>456</v>
      </c>
      <c r="R105" s="309">
        <v>150</v>
      </c>
      <c r="S105" s="60" t="s">
        <v>1060</v>
      </c>
      <c r="T105" s="61">
        <v>150</v>
      </c>
      <c r="U105" s="60" t="s">
        <v>1060</v>
      </c>
      <c r="V105" s="1">
        <v>3</v>
      </c>
      <c r="W105" s="1" t="s">
        <v>34</v>
      </c>
      <c r="X105" s="1" t="s">
        <v>1013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365">
        <v>0</v>
      </c>
      <c r="AE105" s="365">
        <v>189.12</v>
      </c>
      <c r="AF105" s="365">
        <v>0</v>
      </c>
      <c r="AG105" s="2">
        <v>0</v>
      </c>
      <c r="AH105" s="2">
        <v>0</v>
      </c>
      <c r="AI105" s="2">
        <v>0</v>
      </c>
      <c r="AJ105" s="2">
        <v>-189.12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1">
        <v>101</v>
      </c>
    </row>
    <row r="106" spans="1:49" ht="12.75">
      <c r="A106" s="5">
        <v>1410</v>
      </c>
      <c r="B106" s="2" t="s">
        <v>1061</v>
      </c>
      <c r="C106" s="305">
        <v>0</v>
      </c>
      <c r="D106" s="305">
        <v>0</v>
      </c>
      <c r="E106" s="305">
        <v>-265.84</v>
      </c>
      <c r="F106" s="305">
        <v>0</v>
      </c>
      <c r="G106" s="305">
        <v>0</v>
      </c>
      <c r="H106" s="305">
        <v>0</v>
      </c>
      <c r="I106" s="305">
        <v>0</v>
      </c>
      <c r="J106" s="1" t="s">
        <v>1062</v>
      </c>
      <c r="K106" s="3" t="s">
        <v>982</v>
      </c>
      <c r="L106" s="365">
        <v>44561</v>
      </c>
      <c r="M106" s="2">
        <v>0</v>
      </c>
      <c r="N106" s="311">
        <v>140</v>
      </c>
      <c r="O106" s="310" t="s">
        <v>81</v>
      </c>
      <c r="P106" s="309">
        <v>40</v>
      </c>
      <c r="Q106" s="60" t="s">
        <v>456</v>
      </c>
      <c r="R106" s="309">
        <v>150</v>
      </c>
      <c r="S106" s="60" t="s">
        <v>1060</v>
      </c>
      <c r="T106" s="61">
        <v>150</v>
      </c>
      <c r="U106" s="60" t="s">
        <v>1060</v>
      </c>
      <c r="V106" s="1">
        <v>3</v>
      </c>
      <c r="W106" s="1" t="s">
        <v>34</v>
      </c>
      <c r="X106" s="1" t="s">
        <v>1013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365">
        <v>0</v>
      </c>
      <c r="AE106" s="365">
        <v>265.84</v>
      </c>
      <c r="AF106" s="365">
        <v>0</v>
      </c>
      <c r="AG106" s="2">
        <v>0</v>
      </c>
      <c r="AH106" s="2">
        <v>0</v>
      </c>
      <c r="AI106" s="2">
        <v>0</v>
      </c>
      <c r="AJ106" s="2">
        <v>-265.84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1">
        <v>102</v>
      </c>
    </row>
    <row r="107" spans="1:49" ht="12.75">
      <c r="A107" s="5">
        <v>1410</v>
      </c>
      <c r="B107" s="2" t="s">
        <v>241</v>
      </c>
      <c r="C107" s="305">
        <v>0</v>
      </c>
      <c r="D107" s="305">
        <v>0</v>
      </c>
      <c r="E107" s="305">
        <v>-10722.72</v>
      </c>
      <c r="F107" s="305">
        <v>0</v>
      </c>
      <c r="G107" s="305">
        <v>0</v>
      </c>
      <c r="H107" s="305">
        <v>0</v>
      </c>
      <c r="I107" s="305">
        <v>0</v>
      </c>
      <c r="J107" s="1" t="s">
        <v>804</v>
      </c>
      <c r="K107" s="3" t="s">
        <v>982</v>
      </c>
      <c r="L107" s="365">
        <v>44561</v>
      </c>
      <c r="M107" s="2">
        <v>0</v>
      </c>
      <c r="N107" s="311">
        <v>140</v>
      </c>
      <c r="O107" s="310" t="s">
        <v>81</v>
      </c>
      <c r="P107" s="309">
        <v>40</v>
      </c>
      <c r="Q107" s="60" t="s">
        <v>456</v>
      </c>
      <c r="R107" s="309">
        <v>5027</v>
      </c>
      <c r="S107" s="60" t="s">
        <v>206</v>
      </c>
      <c r="T107" s="61">
        <v>160</v>
      </c>
      <c r="U107" s="60" t="s">
        <v>716</v>
      </c>
      <c r="V107" s="1">
        <v>3</v>
      </c>
      <c r="W107" s="1" t="s">
        <v>34</v>
      </c>
      <c r="X107" s="1" t="s">
        <v>1017</v>
      </c>
      <c r="Y107" s="2">
        <v>-206.35</v>
      </c>
      <c r="Z107" s="2">
        <v>1416.09</v>
      </c>
      <c r="AA107" s="2">
        <v>1674.52</v>
      </c>
      <c r="AB107" s="2">
        <v>-1006.01</v>
      </c>
      <c r="AC107" s="2">
        <v>-619.5</v>
      </c>
      <c r="AD107" s="365">
        <v>2171.55</v>
      </c>
      <c r="AE107" s="365">
        <v>-753.63</v>
      </c>
      <c r="AF107" s="365">
        <v>-160.81</v>
      </c>
      <c r="AG107" s="2">
        <v>792.09</v>
      </c>
      <c r="AH107" s="2">
        <v>1314.77</v>
      </c>
      <c r="AI107" s="2">
        <v>0</v>
      </c>
      <c r="AJ107" s="2">
        <v>-10722.72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1">
        <v>103</v>
      </c>
    </row>
    <row r="108" spans="1:49" ht="12.75">
      <c r="A108" s="5">
        <v>1410</v>
      </c>
      <c r="B108" s="2" t="s">
        <v>242</v>
      </c>
      <c r="C108" s="305">
        <v>0</v>
      </c>
      <c r="D108" s="305">
        <v>0</v>
      </c>
      <c r="E108" s="305">
        <v>-3507.22</v>
      </c>
      <c r="F108" s="305">
        <v>0</v>
      </c>
      <c r="G108" s="305">
        <v>0</v>
      </c>
      <c r="H108" s="305">
        <v>0</v>
      </c>
      <c r="I108" s="305">
        <v>0</v>
      </c>
      <c r="J108" s="1" t="s">
        <v>805</v>
      </c>
      <c r="K108" s="3" t="s">
        <v>982</v>
      </c>
      <c r="L108" s="365">
        <v>44561</v>
      </c>
      <c r="M108" s="2">
        <v>0</v>
      </c>
      <c r="N108" s="311">
        <v>140</v>
      </c>
      <c r="O108" s="310" t="s">
        <v>81</v>
      </c>
      <c r="P108" s="309">
        <v>40</v>
      </c>
      <c r="Q108" s="60" t="s">
        <v>456</v>
      </c>
      <c r="R108" s="309">
        <v>5027</v>
      </c>
      <c r="S108" s="60" t="s">
        <v>206</v>
      </c>
      <c r="T108" s="61">
        <v>160</v>
      </c>
      <c r="U108" s="60" t="s">
        <v>716</v>
      </c>
      <c r="V108" s="1">
        <v>3</v>
      </c>
      <c r="W108" s="1" t="s">
        <v>34</v>
      </c>
      <c r="X108" s="1" t="s">
        <v>1063</v>
      </c>
      <c r="Y108" s="2">
        <v>-56.07</v>
      </c>
      <c r="Z108" s="2">
        <v>960.38</v>
      </c>
      <c r="AA108" s="2">
        <v>988.13</v>
      </c>
      <c r="AB108" s="2">
        <v>-633.89</v>
      </c>
      <c r="AC108" s="2">
        <v>552.1</v>
      </c>
      <c r="AD108" s="365">
        <v>337.49</v>
      </c>
      <c r="AE108" s="365">
        <v>-480.07</v>
      </c>
      <c r="AF108" s="365">
        <v>727.29</v>
      </c>
      <c r="AG108" s="2">
        <v>439.56</v>
      </c>
      <c r="AH108" s="2">
        <v>172.3</v>
      </c>
      <c r="AI108" s="2">
        <v>0</v>
      </c>
      <c r="AJ108" s="2">
        <v>-3507.22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1">
        <v>104</v>
      </c>
    </row>
    <row r="109" spans="1:49" ht="12.75">
      <c r="A109" s="5">
        <v>1410</v>
      </c>
      <c r="B109" s="2" t="s">
        <v>243</v>
      </c>
      <c r="C109" s="305">
        <v>0</v>
      </c>
      <c r="D109" s="305">
        <v>0</v>
      </c>
      <c r="E109" s="305">
        <v>-37495.96</v>
      </c>
      <c r="F109" s="305">
        <v>0</v>
      </c>
      <c r="G109" s="305">
        <v>0</v>
      </c>
      <c r="H109" s="305">
        <v>0</v>
      </c>
      <c r="I109" s="305">
        <v>0</v>
      </c>
      <c r="J109" s="1" t="s">
        <v>806</v>
      </c>
      <c r="K109" s="3" t="s">
        <v>982</v>
      </c>
      <c r="L109" s="365">
        <v>44561</v>
      </c>
      <c r="M109" s="2">
        <v>0</v>
      </c>
      <c r="N109" s="311">
        <v>140</v>
      </c>
      <c r="O109" s="310" t="s">
        <v>81</v>
      </c>
      <c r="P109" s="309">
        <v>40</v>
      </c>
      <c r="Q109" s="60" t="s">
        <v>456</v>
      </c>
      <c r="R109" s="309">
        <v>5027</v>
      </c>
      <c r="S109" s="60" t="s">
        <v>206</v>
      </c>
      <c r="T109" s="61">
        <v>160</v>
      </c>
      <c r="U109" s="60" t="s">
        <v>716</v>
      </c>
      <c r="V109" s="1">
        <v>3</v>
      </c>
      <c r="W109" s="1" t="s">
        <v>34</v>
      </c>
      <c r="X109" s="1" t="s">
        <v>1016</v>
      </c>
      <c r="Y109" s="2">
        <v>-13825.13</v>
      </c>
      <c r="Z109" s="2">
        <v>-2513.94</v>
      </c>
      <c r="AA109" s="2">
        <v>33987.55</v>
      </c>
      <c r="AB109" s="2">
        <v>-32596.5</v>
      </c>
      <c r="AC109" s="2">
        <v>-17737.68</v>
      </c>
      <c r="AD109" s="365">
        <v>-7584.67</v>
      </c>
      <c r="AE109" s="365">
        <v>7812.21</v>
      </c>
      <c r="AF109" s="365">
        <v>-10513.65</v>
      </c>
      <c r="AG109" s="2">
        <v>-691.22</v>
      </c>
      <c r="AH109" s="2">
        <v>16658.99</v>
      </c>
      <c r="AI109" s="2">
        <v>0</v>
      </c>
      <c r="AJ109" s="2">
        <v>-37495.96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1">
        <v>105</v>
      </c>
    </row>
    <row r="110" spans="1:49" ht="12.75">
      <c r="A110" s="5">
        <v>1410</v>
      </c>
      <c r="B110" s="2" t="s">
        <v>244</v>
      </c>
      <c r="C110" s="305">
        <v>0</v>
      </c>
      <c r="D110" s="305">
        <v>0</v>
      </c>
      <c r="E110" s="305">
        <v>-40556.33</v>
      </c>
      <c r="F110" s="305">
        <v>0</v>
      </c>
      <c r="G110" s="305">
        <v>0</v>
      </c>
      <c r="H110" s="305">
        <v>0</v>
      </c>
      <c r="I110" s="305">
        <v>0</v>
      </c>
      <c r="J110" s="1" t="s">
        <v>807</v>
      </c>
      <c r="K110" s="3" t="s">
        <v>982</v>
      </c>
      <c r="L110" s="365">
        <v>44561</v>
      </c>
      <c r="M110" s="2">
        <v>0</v>
      </c>
      <c r="N110" s="311">
        <v>140</v>
      </c>
      <c r="O110" s="310" t="s">
        <v>81</v>
      </c>
      <c r="P110" s="309">
        <v>40</v>
      </c>
      <c r="Q110" s="60" t="s">
        <v>456</v>
      </c>
      <c r="R110" s="309">
        <v>5027</v>
      </c>
      <c r="S110" s="60" t="s">
        <v>206</v>
      </c>
      <c r="T110" s="61">
        <v>160</v>
      </c>
      <c r="U110" s="60" t="s">
        <v>716</v>
      </c>
      <c r="V110" s="1">
        <v>3</v>
      </c>
      <c r="W110" s="1" t="s">
        <v>34</v>
      </c>
      <c r="X110" s="1" t="s">
        <v>1018</v>
      </c>
      <c r="Y110" s="2">
        <v>1795.32</v>
      </c>
      <c r="Z110" s="2">
        <v>3558.33</v>
      </c>
      <c r="AA110" s="2">
        <v>29437.52</v>
      </c>
      <c r="AB110" s="2">
        <v>-5641.69</v>
      </c>
      <c r="AC110" s="2">
        <v>-20684.2</v>
      </c>
      <c r="AD110" s="365">
        <v>7598.97</v>
      </c>
      <c r="AE110" s="365">
        <v>-9680.15</v>
      </c>
      <c r="AF110" s="365">
        <v>9193.43</v>
      </c>
      <c r="AG110" s="2">
        <v>11258.25</v>
      </c>
      <c r="AH110" s="2">
        <v>4520.55</v>
      </c>
      <c r="AI110" s="2">
        <v>0</v>
      </c>
      <c r="AJ110" s="2">
        <v>-40556.33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1">
        <v>106</v>
      </c>
    </row>
    <row r="111" spans="1:49" ht="12.75">
      <c r="A111" s="5">
        <v>1410</v>
      </c>
      <c r="B111" s="2" t="s">
        <v>245</v>
      </c>
      <c r="C111" s="305">
        <v>0</v>
      </c>
      <c r="D111" s="305">
        <v>0</v>
      </c>
      <c r="E111" s="305">
        <v>-6800.42</v>
      </c>
      <c r="F111" s="305">
        <v>0</v>
      </c>
      <c r="G111" s="305">
        <v>0</v>
      </c>
      <c r="H111" s="305">
        <v>0</v>
      </c>
      <c r="I111" s="305">
        <v>0</v>
      </c>
      <c r="J111" s="1" t="s">
        <v>808</v>
      </c>
      <c r="K111" s="3" t="s">
        <v>982</v>
      </c>
      <c r="L111" s="365">
        <v>44561</v>
      </c>
      <c r="M111" s="2">
        <v>0</v>
      </c>
      <c r="N111" s="311">
        <v>140</v>
      </c>
      <c r="O111" s="310" t="s">
        <v>81</v>
      </c>
      <c r="P111" s="309">
        <v>40</v>
      </c>
      <c r="Q111" s="60" t="s">
        <v>456</v>
      </c>
      <c r="R111" s="309">
        <v>5027</v>
      </c>
      <c r="S111" s="60" t="s">
        <v>206</v>
      </c>
      <c r="T111" s="61">
        <v>160</v>
      </c>
      <c r="U111" s="60" t="s">
        <v>716</v>
      </c>
      <c r="V111" s="1">
        <v>3</v>
      </c>
      <c r="W111" s="1" t="s">
        <v>34</v>
      </c>
      <c r="X111" s="1" t="s">
        <v>1064</v>
      </c>
      <c r="Y111" s="2">
        <v>-52.14</v>
      </c>
      <c r="Z111" s="2">
        <v>-69.53</v>
      </c>
      <c r="AA111" s="2">
        <v>-156.45</v>
      </c>
      <c r="AB111" s="2">
        <v>-173.83</v>
      </c>
      <c r="AC111" s="2">
        <v>-121.68</v>
      </c>
      <c r="AD111" s="365">
        <v>-173.81</v>
      </c>
      <c r="AE111" s="365">
        <v>-17.38</v>
      </c>
      <c r="AF111" s="365">
        <v>-34.76</v>
      </c>
      <c r="AG111" s="2">
        <v>0</v>
      </c>
      <c r="AH111" s="2">
        <v>0</v>
      </c>
      <c r="AI111" s="2">
        <v>0</v>
      </c>
      <c r="AJ111" s="2">
        <v>-6800.42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1">
        <v>107</v>
      </c>
    </row>
    <row r="112" spans="1:49" ht="12.75">
      <c r="A112" s="5">
        <v>1410</v>
      </c>
      <c r="B112" s="2" t="s">
        <v>246</v>
      </c>
      <c r="C112" s="305">
        <v>0</v>
      </c>
      <c r="D112" s="305">
        <v>0</v>
      </c>
      <c r="E112" s="305">
        <v>-22782.24</v>
      </c>
      <c r="F112" s="305">
        <v>0</v>
      </c>
      <c r="G112" s="305">
        <v>0</v>
      </c>
      <c r="H112" s="305">
        <v>0</v>
      </c>
      <c r="I112" s="305">
        <v>0</v>
      </c>
      <c r="J112" s="1" t="s">
        <v>809</v>
      </c>
      <c r="K112" s="3" t="s">
        <v>982</v>
      </c>
      <c r="L112" s="365">
        <v>44561</v>
      </c>
      <c r="M112" s="2">
        <v>0</v>
      </c>
      <c r="N112" s="311">
        <v>140</v>
      </c>
      <c r="O112" s="310" t="s">
        <v>81</v>
      </c>
      <c r="P112" s="309">
        <v>40</v>
      </c>
      <c r="Q112" s="60" t="s">
        <v>456</v>
      </c>
      <c r="R112" s="309">
        <v>5028</v>
      </c>
      <c r="S112" s="60" t="s">
        <v>207</v>
      </c>
      <c r="T112" s="61">
        <v>170</v>
      </c>
      <c r="U112" s="60" t="s">
        <v>501</v>
      </c>
      <c r="V112" s="1">
        <v>3</v>
      </c>
      <c r="W112" s="1" t="s">
        <v>34</v>
      </c>
      <c r="X112" s="1" t="s">
        <v>1065</v>
      </c>
      <c r="Y112" s="2">
        <v>2091.99</v>
      </c>
      <c r="Z112" s="2">
        <v>2485.59</v>
      </c>
      <c r="AA112" s="2">
        <v>2648.64</v>
      </c>
      <c r="AB112" s="2">
        <v>1930.05</v>
      </c>
      <c r="AC112" s="2">
        <v>4329.98</v>
      </c>
      <c r="AD112" s="365">
        <v>3089.65</v>
      </c>
      <c r="AE112" s="365">
        <v>-533.12</v>
      </c>
      <c r="AF112" s="365">
        <v>-577.79</v>
      </c>
      <c r="AG112" s="2">
        <v>417.25</v>
      </c>
      <c r="AH112" s="2">
        <v>0</v>
      </c>
      <c r="AI112" s="2">
        <v>0</v>
      </c>
      <c r="AJ112" s="2">
        <v>-22782.24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1">
        <v>108</v>
      </c>
    </row>
    <row r="113" spans="1:49" ht="12.75">
      <c r="A113" s="5">
        <v>1410</v>
      </c>
      <c r="B113" s="2" t="s">
        <v>247</v>
      </c>
      <c r="C113" s="305">
        <v>0</v>
      </c>
      <c r="D113" s="305">
        <v>0</v>
      </c>
      <c r="E113" s="305">
        <v>-4615.83</v>
      </c>
      <c r="F113" s="305">
        <v>0</v>
      </c>
      <c r="G113" s="305">
        <v>0</v>
      </c>
      <c r="H113" s="305">
        <v>0</v>
      </c>
      <c r="I113" s="305">
        <v>0</v>
      </c>
      <c r="J113" s="1" t="s">
        <v>810</v>
      </c>
      <c r="K113" s="3" t="s">
        <v>982</v>
      </c>
      <c r="L113" s="365">
        <v>44561</v>
      </c>
      <c r="M113" s="2">
        <v>0</v>
      </c>
      <c r="N113" s="311">
        <v>140</v>
      </c>
      <c r="O113" s="310" t="s">
        <v>81</v>
      </c>
      <c r="P113" s="309">
        <v>40</v>
      </c>
      <c r="Q113" s="60" t="s">
        <v>456</v>
      </c>
      <c r="R113" s="309">
        <v>5028</v>
      </c>
      <c r="S113" s="60" t="s">
        <v>207</v>
      </c>
      <c r="T113" s="61">
        <v>170</v>
      </c>
      <c r="U113" s="60" t="s">
        <v>501</v>
      </c>
      <c r="V113" s="1">
        <v>3</v>
      </c>
      <c r="W113" s="1" t="s">
        <v>34</v>
      </c>
      <c r="X113" s="1" t="s">
        <v>1021</v>
      </c>
      <c r="Y113" s="2">
        <v>-2148.54</v>
      </c>
      <c r="Z113" s="2">
        <v>-704.92</v>
      </c>
      <c r="AA113" s="2">
        <v>2223.77</v>
      </c>
      <c r="AB113" s="2">
        <v>-1779.08</v>
      </c>
      <c r="AC113" s="2">
        <v>-1215.28</v>
      </c>
      <c r="AD113" s="365">
        <v>900.86</v>
      </c>
      <c r="AE113" s="365">
        <v>668.11</v>
      </c>
      <c r="AF113" s="365">
        <v>-409.49</v>
      </c>
      <c r="AG113" s="2">
        <v>-592.5</v>
      </c>
      <c r="AH113" s="2">
        <v>872.9</v>
      </c>
      <c r="AI113" s="2">
        <v>0</v>
      </c>
      <c r="AJ113" s="2">
        <v>-4615.83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1">
        <v>109</v>
      </c>
    </row>
    <row r="114" spans="1:49" ht="12.75">
      <c r="A114" s="5">
        <v>1410</v>
      </c>
      <c r="B114" s="2" t="s">
        <v>248</v>
      </c>
      <c r="C114" s="305">
        <v>0</v>
      </c>
      <c r="D114" s="305">
        <v>0</v>
      </c>
      <c r="E114" s="305">
        <v>-7382.43</v>
      </c>
      <c r="F114" s="305">
        <v>0</v>
      </c>
      <c r="G114" s="305">
        <v>0</v>
      </c>
      <c r="H114" s="305">
        <v>0</v>
      </c>
      <c r="I114" s="305">
        <v>0</v>
      </c>
      <c r="J114" s="1" t="s">
        <v>811</v>
      </c>
      <c r="K114" s="3" t="s">
        <v>982</v>
      </c>
      <c r="L114" s="365">
        <v>44561</v>
      </c>
      <c r="M114" s="2">
        <v>0</v>
      </c>
      <c r="N114" s="311">
        <v>140</v>
      </c>
      <c r="O114" s="310" t="s">
        <v>81</v>
      </c>
      <c r="P114" s="309">
        <v>40</v>
      </c>
      <c r="Q114" s="60" t="s">
        <v>456</v>
      </c>
      <c r="R114" s="309">
        <v>5028</v>
      </c>
      <c r="S114" s="60" t="s">
        <v>207</v>
      </c>
      <c r="T114" s="61">
        <v>170</v>
      </c>
      <c r="U114" s="60" t="s">
        <v>501</v>
      </c>
      <c r="V114" s="1">
        <v>3</v>
      </c>
      <c r="W114" s="1" t="s">
        <v>34</v>
      </c>
      <c r="X114" s="1" t="s">
        <v>1020</v>
      </c>
      <c r="Y114" s="2">
        <v>102.3</v>
      </c>
      <c r="Z114" s="2">
        <v>-307.8</v>
      </c>
      <c r="AA114" s="2">
        <v>1217.16</v>
      </c>
      <c r="AB114" s="2">
        <v>269.51</v>
      </c>
      <c r="AC114" s="2">
        <v>1046.49</v>
      </c>
      <c r="AD114" s="365">
        <v>-256.33</v>
      </c>
      <c r="AE114" s="365">
        <v>190.44</v>
      </c>
      <c r="AF114" s="365">
        <v>-90.86</v>
      </c>
      <c r="AG114" s="2">
        <v>17.84</v>
      </c>
      <c r="AH114" s="2">
        <v>193.68</v>
      </c>
      <c r="AI114" s="2">
        <v>0</v>
      </c>
      <c r="AJ114" s="2">
        <v>-7382.43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1">
        <v>110</v>
      </c>
    </row>
    <row r="115" spans="1:49" ht="12.75">
      <c r="A115" s="5">
        <v>1410</v>
      </c>
      <c r="B115" s="2" t="s">
        <v>1066</v>
      </c>
      <c r="C115" s="305">
        <v>0</v>
      </c>
      <c r="D115" s="305">
        <v>0</v>
      </c>
      <c r="E115" s="305">
        <v>-2450.2</v>
      </c>
      <c r="F115" s="305">
        <v>0</v>
      </c>
      <c r="G115" s="305">
        <v>0</v>
      </c>
      <c r="H115" s="305">
        <v>0</v>
      </c>
      <c r="I115" s="305">
        <v>0</v>
      </c>
      <c r="J115" s="1" t="s">
        <v>1067</v>
      </c>
      <c r="K115" s="3" t="s">
        <v>982</v>
      </c>
      <c r="L115" s="365">
        <v>44561</v>
      </c>
      <c r="M115" s="2">
        <v>0</v>
      </c>
      <c r="N115" s="311">
        <v>140</v>
      </c>
      <c r="O115" s="310" t="s">
        <v>81</v>
      </c>
      <c r="P115" s="309">
        <v>40</v>
      </c>
      <c r="Q115" s="60" t="s">
        <v>456</v>
      </c>
      <c r="R115" s="309">
        <v>5028</v>
      </c>
      <c r="S115" s="60" t="s">
        <v>207</v>
      </c>
      <c r="T115" s="61">
        <v>170</v>
      </c>
      <c r="U115" s="60" t="s">
        <v>501</v>
      </c>
      <c r="V115" s="1">
        <v>3</v>
      </c>
      <c r="W115" s="1" t="s">
        <v>34</v>
      </c>
      <c r="X115" s="1" t="s">
        <v>1068</v>
      </c>
      <c r="Y115" s="2">
        <v>0</v>
      </c>
      <c r="Z115" s="2">
        <v>0</v>
      </c>
      <c r="AA115" s="2">
        <v>606.9</v>
      </c>
      <c r="AB115" s="2">
        <v>0</v>
      </c>
      <c r="AC115" s="2">
        <v>436.4</v>
      </c>
      <c r="AD115" s="365">
        <v>87.6</v>
      </c>
      <c r="AE115" s="365">
        <v>0</v>
      </c>
      <c r="AF115" s="365">
        <v>519.3</v>
      </c>
      <c r="AG115" s="2">
        <v>0</v>
      </c>
      <c r="AH115" s="2">
        <v>0</v>
      </c>
      <c r="AI115" s="2">
        <v>0</v>
      </c>
      <c r="AJ115" s="2">
        <v>-2450.2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1">
        <v>111</v>
      </c>
    </row>
    <row r="116" spans="1:49" ht="12.75">
      <c r="A116" s="5">
        <v>1410</v>
      </c>
      <c r="B116" s="2" t="s">
        <v>249</v>
      </c>
      <c r="C116" s="305">
        <v>0</v>
      </c>
      <c r="D116" s="305">
        <v>0</v>
      </c>
      <c r="E116" s="305">
        <v>5856.27</v>
      </c>
      <c r="F116" s="305">
        <v>0</v>
      </c>
      <c r="G116" s="305">
        <v>0</v>
      </c>
      <c r="H116" s="305">
        <v>0</v>
      </c>
      <c r="I116" s="305">
        <v>0</v>
      </c>
      <c r="J116" s="1" t="s">
        <v>812</v>
      </c>
      <c r="K116" s="3" t="s">
        <v>982</v>
      </c>
      <c r="L116" s="365">
        <v>44561</v>
      </c>
      <c r="M116" s="2">
        <v>0</v>
      </c>
      <c r="N116" s="311">
        <v>140</v>
      </c>
      <c r="O116" s="310" t="s">
        <v>81</v>
      </c>
      <c r="P116" s="309">
        <v>40</v>
      </c>
      <c r="Q116" s="60" t="s">
        <v>456</v>
      </c>
      <c r="R116" s="309">
        <v>5028</v>
      </c>
      <c r="S116" s="60" t="s">
        <v>207</v>
      </c>
      <c r="T116" s="61">
        <v>170</v>
      </c>
      <c r="U116" s="60" t="s">
        <v>501</v>
      </c>
      <c r="V116" s="1">
        <v>3</v>
      </c>
      <c r="W116" s="1" t="s">
        <v>34</v>
      </c>
      <c r="X116" s="1" t="s">
        <v>1069</v>
      </c>
      <c r="Y116" s="2">
        <v>-1967.12</v>
      </c>
      <c r="Z116" s="2">
        <v>-1366.87</v>
      </c>
      <c r="AA116" s="2">
        <v>-1301.93</v>
      </c>
      <c r="AB116" s="2">
        <v>-1357.78</v>
      </c>
      <c r="AC116" s="2">
        <v>-3887.28</v>
      </c>
      <c r="AD116" s="365">
        <v>-1394.45</v>
      </c>
      <c r="AE116" s="365">
        <v>-2239.76</v>
      </c>
      <c r="AF116" s="365">
        <v>-1467.68</v>
      </c>
      <c r="AG116" s="2">
        <v>-1418.83</v>
      </c>
      <c r="AH116" s="2">
        <v>45.43</v>
      </c>
      <c r="AI116" s="2">
        <v>0</v>
      </c>
      <c r="AJ116" s="2">
        <v>5856.27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1">
        <v>112</v>
      </c>
    </row>
    <row r="117" spans="1:49" ht="12.75">
      <c r="A117" s="5">
        <v>1410</v>
      </c>
      <c r="B117" s="2" t="s">
        <v>250</v>
      </c>
      <c r="C117" s="305">
        <v>0</v>
      </c>
      <c r="D117" s="305">
        <v>0</v>
      </c>
      <c r="E117" s="305">
        <v>13542.31</v>
      </c>
      <c r="F117" s="305">
        <v>0</v>
      </c>
      <c r="G117" s="305">
        <v>0</v>
      </c>
      <c r="H117" s="305">
        <v>0</v>
      </c>
      <c r="I117" s="305">
        <v>0</v>
      </c>
      <c r="J117" s="1" t="s">
        <v>813</v>
      </c>
      <c r="K117" s="3" t="s">
        <v>982</v>
      </c>
      <c r="L117" s="365">
        <v>44561</v>
      </c>
      <c r="M117" s="2">
        <v>0</v>
      </c>
      <c r="N117" s="311">
        <v>140</v>
      </c>
      <c r="O117" s="310" t="s">
        <v>81</v>
      </c>
      <c r="P117" s="309">
        <v>40</v>
      </c>
      <c r="Q117" s="60" t="s">
        <v>456</v>
      </c>
      <c r="R117" s="309">
        <v>5028</v>
      </c>
      <c r="S117" s="60" t="s">
        <v>207</v>
      </c>
      <c r="T117" s="61">
        <v>170</v>
      </c>
      <c r="U117" s="60" t="s">
        <v>501</v>
      </c>
      <c r="V117" s="1">
        <v>3</v>
      </c>
      <c r="W117" s="1" t="s">
        <v>34</v>
      </c>
      <c r="X117" s="1" t="s">
        <v>1070</v>
      </c>
      <c r="Y117" s="2">
        <v>-3142.15</v>
      </c>
      <c r="Z117" s="2">
        <v>-2623.18</v>
      </c>
      <c r="AA117" s="2">
        <v>-1402.55</v>
      </c>
      <c r="AB117" s="2">
        <v>-3771.41</v>
      </c>
      <c r="AC117" s="2">
        <v>-5129.37</v>
      </c>
      <c r="AD117" s="365">
        <v>-2711.72</v>
      </c>
      <c r="AE117" s="365">
        <v>-2113.89</v>
      </c>
      <c r="AF117" s="365">
        <v>-1145.56</v>
      </c>
      <c r="AG117" s="2">
        <v>-450.62</v>
      </c>
      <c r="AH117" s="2">
        <v>248.14</v>
      </c>
      <c r="AI117" s="2">
        <v>0</v>
      </c>
      <c r="AJ117" s="2">
        <v>13542.31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1">
        <v>113</v>
      </c>
    </row>
    <row r="118" spans="1:49" ht="12.75">
      <c r="A118" s="5">
        <v>1410</v>
      </c>
      <c r="B118" s="2" t="s">
        <v>251</v>
      </c>
      <c r="C118" s="305">
        <v>0</v>
      </c>
      <c r="D118" s="305">
        <v>0</v>
      </c>
      <c r="E118" s="305">
        <v>-22944.03</v>
      </c>
      <c r="F118" s="305">
        <v>0</v>
      </c>
      <c r="G118" s="305">
        <v>0</v>
      </c>
      <c r="H118" s="305">
        <v>0</v>
      </c>
      <c r="I118" s="305">
        <v>0</v>
      </c>
      <c r="J118" s="1" t="s">
        <v>814</v>
      </c>
      <c r="K118" s="3" t="s">
        <v>982</v>
      </c>
      <c r="L118" s="365">
        <v>44561</v>
      </c>
      <c r="M118" s="2">
        <v>0</v>
      </c>
      <c r="N118" s="311">
        <v>140</v>
      </c>
      <c r="O118" s="310" t="s">
        <v>81</v>
      </c>
      <c r="P118" s="309">
        <v>40</v>
      </c>
      <c r="Q118" s="60" t="s">
        <v>456</v>
      </c>
      <c r="R118" s="309">
        <v>5029</v>
      </c>
      <c r="S118" s="60" t="s">
        <v>208</v>
      </c>
      <c r="T118" s="61">
        <v>170</v>
      </c>
      <c r="U118" s="60" t="s">
        <v>501</v>
      </c>
      <c r="V118" s="1">
        <v>3</v>
      </c>
      <c r="W118" s="1" t="s">
        <v>34</v>
      </c>
      <c r="X118" s="1" t="s">
        <v>1019</v>
      </c>
      <c r="Y118" s="2">
        <v>-2603.13</v>
      </c>
      <c r="Z118" s="2">
        <v>-507.11</v>
      </c>
      <c r="AA118" s="2">
        <v>3721.72</v>
      </c>
      <c r="AB118" s="2">
        <v>-2451.72</v>
      </c>
      <c r="AC118" s="2">
        <v>-4282.99</v>
      </c>
      <c r="AD118" s="365">
        <v>512.58</v>
      </c>
      <c r="AE118" s="365">
        <v>-443.06</v>
      </c>
      <c r="AF118" s="365">
        <v>1861.32</v>
      </c>
      <c r="AG118" s="2">
        <v>7868.35</v>
      </c>
      <c r="AH118" s="2">
        <v>6668.07</v>
      </c>
      <c r="AI118" s="2">
        <v>0</v>
      </c>
      <c r="AJ118" s="2">
        <v>-22944.03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1">
        <v>114</v>
      </c>
    </row>
    <row r="119" spans="1:49" ht="12.75">
      <c r="A119" s="5">
        <v>1410</v>
      </c>
      <c r="B119" s="2" t="s">
        <v>252</v>
      </c>
      <c r="C119" s="305">
        <v>0</v>
      </c>
      <c r="D119" s="305">
        <v>0</v>
      </c>
      <c r="E119" s="305">
        <v>-1197.95</v>
      </c>
      <c r="F119" s="305">
        <v>0</v>
      </c>
      <c r="G119" s="305">
        <v>0</v>
      </c>
      <c r="H119" s="305">
        <v>0</v>
      </c>
      <c r="I119" s="305">
        <v>0</v>
      </c>
      <c r="J119" s="1" t="s">
        <v>815</v>
      </c>
      <c r="K119" s="3" t="s">
        <v>982</v>
      </c>
      <c r="L119" s="365">
        <v>44561</v>
      </c>
      <c r="M119" s="2">
        <v>0</v>
      </c>
      <c r="N119" s="311">
        <v>140</v>
      </c>
      <c r="O119" s="310" t="s">
        <v>81</v>
      </c>
      <c r="P119" s="309">
        <v>40</v>
      </c>
      <c r="Q119" s="60" t="s">
        <v>456</v>
      </c>
      <c r="R119" s="309">
        <v>5029</v>
      </c>
      <c r="S119" s="60" t="s">
        <v>208</v>
      </c>
      <c r="T119" s="61">
        <v>170</v>
      </c>
      <c r="U119" s="60" t="s">
        <v>501</v>
      </c>
      <c r="V119" s="1">
        <v>3</v>
      </c>
      <c r="W119" s="1" t="s">
        <v>34</v>
      </c>
      <c r="X119" s="1" t="s">
        <v>1071</v>
      </c>
      <c r="Y119" s="2">
        <v>168.56</v>
      </c>
      <c r="Z119" s="2">
        <v>-239.24</v>
      </c>
      <c r="AA119" s="2">
        <v>424.46</v>
      </c>
      <c r="AB119" s="2">
        <v>181.36</v>
      </c>
      <c r="AC119" s="2">
        <v>362.72</v>
      </c>
      <c r="AD119" s="365">
        <v>-179.43</v>
      </c>
      <c r="AE119" s="365">
        <v>189.76</v>
      </c>
      <c r="AF119" s="365">
        <v>189.76</v>
      </c>
      <c r="AG119" s="2">
        <v>0</v>
      </c>
      <c r="AH119" s="2">
        <v>0</v>
      </c>
      <c r="AI119" s="2">
        <v>0</v>
      </c>
      <c r="AJ119" s="2">
        <v>-1197.95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1">
        <v>115</v>
      </c>
    </row>
    <row r="120" spans="1:49" ht="12.75">
      <c r="A120" s="5">
        <v>1410</v>
      </c>
      <c r="B120" s="2" t="s">
        <v>253</v>
      </c>
      <c r="C120" s="305">
        <v>0</v>
      </c>
      <c r="D120" s="305">
        <v>0</v>
      </c>
      <c r="E120" s="305">
        <v>1008.81</v>
      </c>
      <c r="F120" s="305">
        <v>0</v>
      </c>
      <c r="G120" s="305">
        <v>0</v>
      </c>
      <c r="H120" s="305">
        <v>0</v>
      </c>
      <c r="I120" s="305">
        <v>0</v>
      </c>
      <c r="J120" s="1" t="s">
        <v>816</v>
      </c>
      <c r="K120" s="3" t="s">
        <v>982</v>
      </c>
      <c r="L120" s="365">
        <v>44561</v>
      </c>
      <c r="M120" s="2">
        <v>0</v>
      </c>
      <c r="N120" s="311">
        <v>140</v>
      </c>
      <c r="O120" s="310" t="s">
        <v>81</v>
      </c>
      <c r="P120" s="309">
        <v>40</v>
      </c>
      <c r="Q120" s="60" t="s">
        <v>456</v>
      </c>
      <c r="R120" s="309">
        <v>5029</v>
      </c>
      <c r="S120" s="60" t="s">
        <v>208</v>
      </c>
      <c r="T120" s="61">
        <v>170</v>
      </c>
      <c r="U120" s="60" t="s">
        <v>501</v>
      </c>
      <c r="V120" s="1">
        <v>3</v>
      </c>
      <c r="W120" s="1" t="s">
        <v>34</v>
      </c>
      <c r="X120" s="1" t="s">
        <v>1072</v>
      </c>
      <c r="Y120" s="2">
        <v>-307.3</v>
      </c>
      <c r="Z120" s="2">
        <v>113.86</v>
      </c>
      <c r="AA120" s="2">
        <v>446.81</v>
      </c>
      <c r="AB120" s="2">
        <v>-288</v>
      </c>
      <c r="AC120" s="2">
        <v>-1062.89</v>
      </c>
      <c r="AD120" s="365">
        <v>-84.96</v>
      </c>
      <c r="AE120" s="365">
        <v>-516.66</v>
      </c>
      <c r="AF120" s="365">
        <v>-41.67</v>
      </c>
      <c r="AG120" s="2">
        <v>0</v>
      </c>
      <c r="AH120" s="2">
        <v>732</v>
      </c>
      <c r="AI120" s="2">
        <v>0</v>
      </c>
      <c r="AJ120" s="2">
        <v>1008.81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1">
        <v>116</v>
      </c>
    </row>
    <row r="121" spans="1:49" ht="12.75">
      <c r="A121" s="5">
        <v>1410</v>
      </c>
      <c r="B121" s="2" t="s">
        <v>254</v>
      </c>
      <c r="C121" s="305">
        <v>0</v>
      </c>
      <c r="D121" s="305">
        <v>0</v>
      </c>
      <c r="E121" s="305">
        <v>-3499.41</v>
      </c>
      <c r="F121" s="305">
        <v>0</v>
      </c>
      <c r="G121" s="305">
        <v>0</v>
      </c>
      <c r="H121" s="305">
        <v>0</v>
      </c>
      <c r="I121" s="305">
        <v>0</v>
      </c>
      <c r="J121" s="1" t="s">
        <v>817</v>
      </c>
      <c r="K121" s="3" t="s">
        <v>982</v>
      </c>
      <c r="L121" s="365">
        <v>44561</v>
      </c>
      <c r="M121" s="2">
        <v>0</v>
      </c>
      <c r="N121" s="311">
        <v>140</v>
      </c>
      <c r="O121" s="310" t="s">
        <v>81</v>
      </c>
      <c r="P121" s="309">
        <v>40</v>
      </c>
      <c r="Q121" s="60" t="s">
        <v>456</v>
      </c>
      <c r="R121" s="309">
        <v>5029</v>
      </c>
      <c r="S121" s="60" t="s">
        <v>208</v>
      </c>
      <c r="T121" s="61">
        <v>170</v>
      </c>
      <c r="U121" s="60" t="s">
        <v>501</v>
      </c>
      <c r="V121" s="1">
        <v>3</v>
      </c>
      <c r="W121" s="1" t="s">
        <v>34</v>
      </c>
      <c r="X121" s="1" t="s">
        <v>1073</v>
      </c>
      <c r="Y121" s="2">
        <v>-2079</v>
      </c>
      <c r="Z121" s="2">
        <v>923.57</v>
      </c>
      <c r="AA121" s="2">
        <v>2797.4</v>
      </c>
      <c r="AB121" s="2">
        <v>-2553.15</v>
      </c>
      <c r="AC121" s="2">
        <v>-349.23</v>
      </c>
      <c r="AD121" s="365">
        <v>-356.04</v>
      </c>
      <c r="AE121" s="365">
        <v>-547.63</v>
      </c>
      <c r="AF121" s="365">
        <v>844.8</v>
      </c>
      <c r="AG121" s="2">
        <v>106.69</v>
      </c>
      <c r="AH121" s="2">
        <v>2112</v>
      </c>
      <c r="AI121" s="2">
        <v>0</v>
      </c>
      <c r="AJ121" s="2">
        <v>-3499.41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1">
        <v>117</v>
      </c>
    </row>
    <row r="122" spans="1:49" ht="12.75">
      <c r="A122" s="5">
        <v>1410</v>
      </c>
      <c r="B122" s="2" t="s">
        <v>255</v>
      </c>
      <c r="C122" s="305">
        <v>0</v>
      </c>
      <c r="D122" s="305">
        <v>0</v>
      </c>
      <c r="E122" s="305">
        <v>-1160.36</v>
      </c>
      <c r="F122" s="305">
        <v>0</v>
      </c>
      <c r="G122" s="305">
        <v>0</v>
      </c>
      <c r="H122" s="305">
        <v>0</v>
      </c>
      <c r="I122" s="305">
        <v>0</v>
      </c>
      <c r="J122" s="1" t="s">
        <v>818</v>
      </c>
      <c r="K122" s="3" t="s">
        <v>982</v>
      </c>
      <c r="L122" s="365">
        <v>44561</v>
      </c>
      <c r="M122" s="2">
        <v>0</v>
      </c>
      <c r="N122" s="311">
        <v>140</v>
      </c>
      <c r="O122" s="310" t="s">
        <v>81</v>
      </c>
      <c r="P122" s="309">
        <v>40</v>
      </c>
      <c r="Q122" s="60" t="s">
        <v>456</v>
      </c>
      <c r="R122" s="309">
        <v>5029</v>
      </c>
      <c r="S122" s="60" t="s">
        <v>208</v>
      </c>
      <c r="T122" s="61">
        <v>170</v>
      </c>
      <c r="U122" s="60" t="s">
        <v>501</v>
      </c>
      <c r="V122" s="1">
        <v>3</v>
      </c>
      <c r="W122" s="1" t="s">
        <v>34</v>
      </c>
      <c r="X122" s="1" t="s">
        <v>1074</v>
      </c>
      <c r="Y122" s="2">
        <v>14.58</v>
      </c>
      <c r="Z122" s="2">
        <v>184</v>
      </c>
      <c r="AA122" s="2">
        <v>207</v>
      </c>
      <c r="AB122" s="2">
        <v>184</v>
      </c>
      <c r="AC122" s="2">
        <v>96.56</v>
      </c>
      <c r="AD122" s="365">
        <v>132.96</v>
      </c>
      <c r="AE122" s="365">
        <v>92</v>
      </c>
      <c r="AF122" s="365">
        <v>115</v>
      </c>
      <c r="AG122" s="2">
        <v>88.26</v>
      </c>
      <c r="AH122" s="2">
        <v>46</v>
      </c>
      <c r="AI122" s="2">
        <v>0</v>
      </c>
      <c r="AJ122" s="2">
        <v>-1160.36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1">
        <v>118</v>
      </c>
    </row>
    <row r="123" spans="1:49" ht="12.75">
      <c r="A123" s="5">
        <v>1410</v>
      </c>
      <c r="B123" s="2" t="s">
        <v>1075</v>
      </c>
      <c r="C123" s="305">
        <v>4996.59</v>
      </c>
      <c r="D123" s="305">
        <v>0</v>
      </c>
      <c r="E123" s="305">
        <v>0</v>
      </c>
      <c r="F123" s="305">
        <v>0</v>
      </c>
      <c r="G123" s="305">
        <v>0</v>
      </c>
      <c r="H123" s="305">
        <v>0</v>
      </c>
      <c r="I123" s="305">
        <v>0</v>
      </c>
      <c r="J123" s="1" t="s">
        <v>819</v>
      </c>
      <c r="K123" s="3" t="s">
        <v>982</v>
      </c>
      <c r="L123" s="365"/>
      <c r="M123" s="2">
        <v>0</v>
      </c>
      <c r="N123" s="311">
        <v>140</v>
      </c>
      <c r="O123" s="310" t="s">
        <v>81</v>
      </c>
      <c r="P123" s="309">
        <v>40</v>
      </c>
      <c r="Q123" s="60" t="s">
        <v>456</v>
      </c>
      <c r="R123" s="309">
        <v>5020</v>
      </c>
      <c r="S123" s="60" t="s">
        <v>205</v>
      </c>
      <c r="T123" s="61">
        <v>240</v>
      </c>
      <c r="U123" s="60" t="s">
        <v>788</v>
      </c>
      <c r="V123" s="1">
        <v>3</v>
      </c>
      <c r="W123" s="1" t="s">
        <v>34</v>
      </c>
      <c r="X123" s="1" t="s">
        <v>1022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365">
        <v>0</v>
      </c>
      <c r="AE123" s="365">
        <v>0</v>
      </c>
      <c r="AF123" s="365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-90</v>
      </c>
      <c r="AL123" s="2">
        <v>-26.16</v>
      </c>
      <c r="AM123" s="2">
        <v>-227.43</v>
      </c>
      <c r="AN123" s="2">
        <v>-297</v>
      </c>
      <c r="AO123" s="2">
        <v>-396</v>
      </c>
      <c r="AP123" s="2">
        <v>-891</v>
      </c>
      <c r="AQ123" s="2">
        <v>-1188</v>
      </c>
      <c r="AR123" s="2">
        <v>-1188</v>
      </c>
      <c r="AS123" s="2">
        <v>-594</v>
      </c>
      <c r="AT123" s="2">
        <v>-99</v>
      </c>
      <c r="AU123" s="2">
        <v>0</v>
      </c>
      <c r="AV123" s="2">
        <v>4996.59</v>
      </c>
      <c r="AW123" s="1">
        <v>119</v>
      </c>
    </row>
    <row r="124" spans="1:49" ht="12.75">
      <c r="A124" s="5">
        <v>1510</v>
      </c>
      <c r="B124" s="2" t="s">
        <v>1076</v>
      </c>
      <c r="C124" s="305">
        <v>593673.22</v>
      </c>
      <c r="D124" s="305">
        <v>0</v>
      </c>
      <c r="E124" s="305">
        <v>71952.11</v>
      </c>
      <c r="F124" s="305">
        <v>37845.93</v>
      </c>
      <c r="G124" s="305">
        <v>0</v>
      </c>
      <c r="H124" s="305">
        <v>30749.29</v>
      </c>
      <c r="I124" s="305">
        <v>30749.29</v>
      </c>
      <c r="K124" s="3" t="s">
        <v>982</v>
      </c>
      <c r="L124" s="365"/>
      <c r="M124" s="2">
        <v>37845.93</v>
      </c>
      <c r="N124" s="311">
        <v>150</v>
      </c>
      <c r="O124" s="310" t="s">
        <v>46</v>
      </c>
      <c r="V124" s="1">
        <v>0</v>
      </c>
      <c r="W124" s="1" t="s">
        <v>92</v>
      </c>
      <c r="X124" s="1" t="s">
        <v>1077</v>
      </c>
      <c r="Y124" s="2">
        <v>12548.56</v>
      </c>
      <c r="Z124" s="2">
        <v>-18416.28</v>
      </c>
      <c r="AA124" s="2">
        <v>77259.65</v>
      </c>
      <c r="AB124" s="2">
        <v>-70878.14</v>
      </c>
      <c r="AC124" s="2">
        <v>-3799.07</v>
      </c>
      <c r="AD124" s="365">
        <v>-35708.79</v>
      </c>
      <c r="AE124" s="365">
        <v>-102459.22</v>
      </c>
      <c r="AF124" s="365">
        <v>-189523.84</v>
      </c>
      <c r="AG124" s="2">
        <v>-18097.16</v>
      </c>
      <c r="AH124" s="2">
        <v>-88207.25</v>
      </c>
      <c r="AI124" s="2">
        <v>291961.83</v>
      </c>
      <c r="AJ124" s="2">
        <v>71952.11</v>
      </c>
      <c r="AK124" s="2">
        <v>24341.59</v>
      </c>
      <c r="AL124" s="2">
        <v>-10602.53</v>
      </c>
      <c r="AM124" s="2">
        <v>-18476.96</v>
      </c>
      <c r="AN124" s="2">
        <v>-146133.74</v>
      </c>
      <c r="AO124" s="2">
        <v>-114531.31</v>
      </c>
      <c r="AP124" s="2">
        <v>-198756.97</v>
      </c>
      <c r="AQ124" s="2">
        <v>546218.55</v>
      </c>
      <c r="AR124" s="2">
        <v>3063.25</v>
      </c>
      <c r="AS124" s="2">
        <v>-170129.79</v>
      </c>
      <c r="AT124" s="2">
        <v>-275129.51</v>
      </c>
      <c r="AU124" s="2">
        <v>-226439.16</v>
      </c>
      <c r="AV124" s="2">
        <v>593673.22</v>
      </c>
      <c r="AW124" s="1">
        <v>120</v>
      </c>
    </row>
    <row r="125" spans="1:49" ht="12.75">
      <c r="A125" s="5">
        <v>1511</v>
      </c>
      <c r="B125" s="2" t="s">
        <v>407</v>
      </c>
      <c r="C125" s="305">
        <v>-538262.75</v>
      </c>
      <c r="D125" s="305">
        <v>0</v>
      </c>
      <c r="E125" s="305">
        <v>-4652.38</v>
      </c>
      <c r="F125" s="305">
        <v>0</v>
      </c>
      <c r="G125" s="305">
        <v>0</v>
      </c>
      <c r="H125" s="305">
        <v>0</v>
      </c>
      <c r="I125" s="305">
        <v>0</v>
      </c>
      <c r="K125" s="3" t="s">
        <v>982</v>
      </c>
      <c r="L125" s="365"/>
      <c r="M125" s="2">
        <v>0</v>
      </c>
      <c r="N125" s="311">
        <v>150</v>
      </c>
      <c r="O125" s="310" t="s">
        <v>46</v>
      </c>
      <c r="V125" s="1">
        <v>0</v>
      </c>
      <c r="W125" s="1" t="s">
        <v>92</v>
      </c>
      <c r="X125" s="1" t="s">
        <v>1077</v>
      </c>
      <c r="Y125" s="2">
        <v>2057.02</v>
      </c>
      <c r="Z125" s="2">
        <v>906.29</v>
      </c>
      <c r="AA125" s="2">
        <v>-3949.01</v>
      </c>
      <c r="AB125" s="2">
        <v>9150.45</v>
      </c>
      <c r="AC125" s="2">
        <v>-5935.11</v>
      </c>
      <c r="AD125" s="365">
        <v>1618.53</v>
      </c>
      <c r="AE125" s="365">
        <v>-5147.36</v>
      </c>
      <c r="AF125" s="365">
        <v>3491.55</v>
      </c>
      <c r="AG125" s="2">
        <v>-675.59</v>
      </c>
      <c r="AH125" s="2">
        <v>-1300.86</v>
      </c>
      <c r="AI125" s="2">
        <v>4436.47</v>
      </c>
      <c r="AJ125" s="2">
        <v>-4652.38</v>
      </c>
      <c r="AK125" s="2">
        <v>0</v>
      </c>
      <c r="AL125" s="2">
        <v>2541.54</v>
      </c>
      <c r="AM125" s="2">
        <v>54279.5</v>
      </c>
      <c r="AN125" s="2">
        <v>131428.77</v>
      </c>
      <c r="AO125" s="2">
        <v>152876.21</v>
      </c>
      <c r="AP125" s="2">
        <v>216844.34</v>
      </c>
      <c r="AQ125" s="2">
        <v>-557970.36</v>
      </c>
      <c r="AR125" s="2">
        <v>125887.9</v>
      </c>
      <c r="AS125" s="2">
        <v>148408.64</v>
      </c>
      <c r="AT125" s="2">
        <v>149749.52</v>
      </c>
      <c r="AU125" s="2">
        <v>114216.69</v>
      </c>
      <c r="AV125" s="2">
        <v>-538262.75</v>
      </c>
      <c r="AW125" s="1">
        <v>121</v>
      </c>
    </row>
    <row r="126" spans="1:49" ht="12.75">
      <c r="A126" s="5">
        <v>1513</v>
      </c>
      <c r="B126" s="2" t="s">
        <v>820</v>
      </c>
      <c r="C126" s="305">
        <v>-1297.74</v>
      </c>
      <c r="D126" s="305">
        <v>0</v>
      </c>
      <c r="E126" s="305">
        <v>0</v>
      </c>
      <c r="F126" s="305">
        <v>0</v>
      </c>
      <c r="G126" s="305">
        <v>0</v>
      </c>
      <c r="H126" s="305">
        <v>0</v>
      </c>
      <c r="I126" s="305">
        <v>0</v>
      </c>
      <c r="K126" s="3" t="s">
        <v>982</v>
      </c>
      <c r="L126" s="365"/>
      <c r="M126" s="2">
        <v>0</v>
      </c>
      <c r="N126" s="311">
        <v>150</v>
      </c>
      <c r="O126" s="310" t="s">
        <v>46</v>
      </c>
      <c r="V126" s="1">
        <v>0</v>
      </c>
      <c r="W126" s="1" t="s">
        <v>92</v>
      </c>
      <c r="X126" s="1" t="s">
        <v>1077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365">
        <v>0</v>
      </c>
      <c r="AE126" s="365">
        <v>0</v>
      </c>
      <c r="AF126" s="365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1297.74</v>
      </c>
      <c r="AU126" s="2">
        <v>0</v>
      </c>
      <c r="AV126" s="2">
        <v>-1297.74</v>
      </c>
      <c r="AW126" s="1">
        <v>122</v>
      </c>
    </row>
    <row r="127" spans="1:49" ht="12.75">
      <c r="A127" s="5">
        <v>1551</v>
      </c>
      <c r="B127" s="2" t="s">
        <v>102</v>
      </c>
      <c r="C127" s="305">
        <v>0</v>
      </c>
      <c r="D127" s="305">
        <v>0</v>
      </c>
      <c r="E127" s="305">
        <v>6724.54</v>
      </c>
      <c r="F127" s="305">
        <v>0</v>
      </c>
      <c r="G127" s="305">
        <v>0</v>
      </c>
      <c r="H127" s="305">
        <v>0</v>
      </c>
      <c r="I127" s="305">
        <v>0</v>
      </c>
      <c r="K127" s="3" t="s">
        <v>982</v>
      </c>
      <c r="L127" s="365"/>
      <c r="M127" s="2">
        <v>0</v>
      </c>
      <c r="N127" s="311">
        <v>155</v>
      </c>
      <c r="O127" s="310" t="s">
        <v>47</v>
      </c>
      <c r="V127" s="1">
        <v>0</v>
      </c>
      <c r="W127" s="1" t="s">
        <v>361</v>
      </c>
      <c r="X127" s="1" t="s">
        <v>1078</v>
      </c>
      <c r="Y127" s="2">
        <v>-8792.15</v>
      </c>
      <c r="Z127" s="2">
        <v>7898.39</v>
      </c>
      <c r="AA127" s="2">
        <v>-18508.65</v>
      </c>
      <c r="AB127" s="2">
        <v>12431.99</v>
      </c>
      <c r="AC127" s="2">
        <v>434.27</v>
      </c>
      <c r="AD127" s="365">
        <v>3810.85</v>
      </c>
      <c r="AE127" s="365">
        <v>1251.97</v>
      </c>
      <c r="AF127" s="365">
        <v>-30788.09</v>
      </c>
      <c r="AG127" s="2">
        <v>-11269.24</v>
      </c>
      <c r="AH127" s="2">
        <v>20721.22</v>
      </c>
      <c r="AI127" s="2">
        <v>2931.1</v>
      </c>
      <c r="AJ127" s="2">
        <v>6724.54</v>
      </c>
      <c r="AK127" s="2">
        <v>2775.63</v>
      </c>
      <c r="AL127" s="2">
        <v>-2775.63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0.02</v>
      </c>
      <c r="AS127" s="2">
        <v>-0.02</v>
      </c>
      <c r="AT127" s="2">
        <v>0</v>
      </c>
      <c r="AU127" s="2">
        <v>0</v>
      </c>
      <c r="AV127" s="2">
        <v>0</v>
      </c>
      <c r="AW127" s="1">
        <v>123</v>
      </c>
    </row>
    <row r="128" spans="1:49" ht="12.75">
      <c r="A128" s="5">
        <v>1552</v>
      </c>
      <c r="B128" s="2" t="s">
        <v>437</v>
      </c>
      <c r="C128" s="305">
        <v>-17344</v>
      </c>
      <c r="D128" s="305">
        <v>0</v>
      </c>
      <c r="E128" s="305">
        <v>0</v>
      </c>
      <c r="F128" s="305">
        <v>0</v>
      </c>
      <c r="G128" s="305">
        <v>0</v>
      </c>
      <c r="H128" s="305">
        <v>0</v>
      </c>
      <c r="I128" s="305">
        <v>0</v>
      </c>
      <c r="K128" s="3" t="s">
        <v>982</v>
      </c>
      <c r="L128" s="365"/>
      <c r="M128" s="2">
        <v>0</v>
      </c>
      <c r="N128" s="311">
        <v>155</v>
      </c>
      <c r="O128" s="310" t="s">
        <v>47</v>
      </c>
      <c r="V128" s="1">
        <v>0</v>
      </c>
      <c r="W128" s="1" t="s">
        <v>361</v>
      </c>
      <c r="X128" s="1" t="s">
        <v>1078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365">
        <v>0</v>
      </c>
      <c r="AE128" s="365">
        <v>147459.22</v>
      </c>
      <c r="AF128" s="365">
        <v>92698.05</v>
      </c>
      <c r="AG128" s="2">
        <v>0</v>
      </c>
      <c r="AH128" s="2">
        <v>0</v>
      </c>
      <c r="AI128" s="2">
        <v>-240157.27</v>
      </c>
      <c r="AJ128" s="2">
        <v>0</v>
      </c>
      <c r="AK128" s="2">
        <v>219.21</v>
      </c>
      <c r="AL128" s="2">
        <v>0</v>
      </c>
      <c r="AM128" s="2">
        <v>0</v>
      </c>
      <c r="AN128" s="2">
        <v>0</v>
      </c>
      <c r="AO128" s="2">
        <v>0</v>
      </c>
      <c r="AP128" s="2">
        <v>40</v>
      </c>
      <c r="AQ128" s="2">
        <v>0</v>
      </c>
      <c r="AR128" s="2">
        <v>-259.21</v>
      </c>
      <c r="AS128" s="2">
        <v>11573</v>
      </c>
      <c r="AT128" s="2">
        <v>5771</v>
      </c>
      <c r="AU128" s="2">
        <v>0</v>
      </c>
      <c r="AV128" s="2">
        <v>-17344</v>
      </c>
      <c r="AW128" s="1">
        <v>124</v>
      </c>
    </row>
    <row r="129" spans="1:49" ht="12.75">
      <c r="A129" s="5">
        <v>1553</v>
      </c>
      <c r="B129" s="2" t="s">
        <v>821</v>
      </c>
      <c r="C129" s="305">
        <v>-2730</v>
      </c>
      <c r="D129" s="305">
        <v>0</v>
      </c>
      <c r="E129" s="305">
        <v>0</v>
      </c>
      <c r="F129" s="305">
        <v>0</v>
      </c>
      <c r="G129" s="305">
        <v>0</v>
      </c>
      <c r="H129" s="305">
        <v>0</v>
      </c>
      <c r="I129" s="305">
        <v>0</v>
      </c>
      <c r="K129" s="3" t="s">
        <v>982</v>
      </c>
      <c r="L129" s="365"/>
      <c r="M129" s="2">
        <v>0</v>
      </c>
      <c r="N129" s="311">
        <v>155</v>
      </c>
      <c r="O129" s="310" t="s">
        <v>47</v>
      </c>
      <c r="V129" s="1">
        <v>0</v>
      </c>
      <c r="W129" s="1" t="s">
        <v>361</v>
      </c>
      <c r="X129" s="1" t="s">
        <v>1078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365">
        <v>0</v>
      </c>
      <c r="AE129" s="365">
        <v>0</v>
      </c>
      <c r="AF129" s="365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624</v>
      </c>
      <c r="AL129" s="2">
        <v>1521</v>
      </c>
      <c r="AM129" s="2">
        <v>1365</v>
      </c>
      <c r="AN129" s="2">
        <v>1287</v>
      </c>
      <c r="AO129" s="2">
        <v>1098</v>
      </c>
      <c r="AP129" s="2">
        <v>1638</v>
      </c>
      <c r="AQ129" s="2">
        <v>-4471.5</v>
      </c>
      <c r="AR129" s="2">
        <v>975</v>
      </c>
      <c r="AS129" s="2">
        <v>-4036.5</v>
      </c>
      <c r="AT129" s="2">
        <v>1209</v>
      </c>
      <c r="AU129" s="2">
        <v>1521</v>
      </c>
      <c r="AV129" s="2">
        <v>-2730</v>
      </c>
      <c r="AW129" s="1">
        <v>125</v>
      </c>
    </row>
    <row r="130" spans="1:49" ht="12.75">
      <c r="A130" s="5">
        <v>1554</v>
      </c>
      <c r="B130" s="2" t="s">
        <v>822</v>
      </c>
      <c r="C130" s="305">
        <v>0</v>
      </c>
      <c r="D130" s="305">
        <v>0</v>
      </c>
      <c r="E130" s="305">
        <v>-110</v>
      </c>
      <c r="F130" s="305">
        <v>0</v>
      </c>
      <c r="G130" s="305">
        <v>0</v>
      </c>
      <c r="H130" s="305">
        <v>0</v>
      </c>
      <c r="I130" s="305">
        <v>0</v>
      </c>
      <c r="K130" s="3" t="s">
        <v>982</v>
      </c>
      <c r="L130" s="365"/>
      <c r="M130" s="2">
        <v>0</v>
      </c>
      <c r="N130" s="311">
        <v>155</v>
      </c>
      <c r="O130" s="310" t="s">
        <v>47</v>
      </c>
      <c r="V130" s="1">
        <v>0</v>
      </c>
      <c r="W130" s="1" t="s">
        <v>361</v>
      </c>
      <c r="X130" s="1" t="s">
        <v>1078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365">
        <v>0</v>
      </c>
      <c r="AE130" s="365">
        <v>0</v>
      </c>
      <c r="AF130" s="365">
        <v>0</v>
      </c>
      <c r="AG130" s="2">
        <v>0</v>
      </c>
      <c r="AH130" s="2">
        <v>0</v>
      </c>
      <c r="AI130" s="2">
        <v>110</v>
      </c>
      <c r="AJ130" s="2">
        <v>-110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1">
        <v>126</v>
      </c>
    </row>
    <row r="131" spans="1:49" ht="12.75">
      <c r="A131" s="5">
        <v>1716</v>
      </c>
      <c r="B131" s="2" t="s">
        <v>1079</v>
      </c>
      <c r="C131" s="305">
        <v>-8186.41</v>
      </c>
      <c r="D131" s="305">
        <v>0</v>
      </c>
      <c r="E131" s="305">
        <v>-1808.67</v>
      </c>
      <c r="F131" s="305">
        <v>7808.14</v>
      </c>
      <c r="G131" s="305">
        <v>0</v>
      </c>
      <c r="H131" s="305">
        <v>5425.97</v>
      </c>
      <c r="I131" s="305">
        <v>5425.97</v>
      </c>
      <c r="K131" s="3" t="s">
        <v>982</v>
      </c>
      <c r="L131" s="365"/>
      <c r="M131" s="2">
        <v>7808.14</v>
      </c>
      <c r="N131" s="311">
        <v>170</v>
      </c>
      <c r="O131" s="310" t="s">
        <v>48</v>
      </c>
      <c r="V131" s="1">
        <v>0</v>
      </c>
      <c r="W131" s="1" t="s">
        <v>361</v>
      </c>
      <c r="X131" s="1" t="s">
        <v>1080</v>
      </c>
      <c r="Y131" s="2">
        <v>-1301.42</v>
      </c>
      <c r="Z131" s="2">
        <v>20402.58</v>
      </c>
      <c r="AA131" s="2">
        <v>-1301.38</v>
      </c>
      <c r="AB131" s="2">
        <v>-1808.67</v>
      </c>
      <c r="AC131" s="2">
        <v>-1808.67</v>
      </c>
      <c r="AD131" s="365">
        <v>-1808.67</v>
      </c>
      <c r="AE131" s="365">
        <v>-1808.67</v>
      </c>
      <c r="AF131" s="365">
        <v>-1808.67</v>
      </c>
      <c r="AG131" s="2">
        <v>-1808.67</v>
      </c>
      <c r="AH131" s="2">
        <v>-1808.67</v>
      </c>
      <c r="AI131" s="2">
        <v>-1808.67</v>
      </c>
      <c r="AJ131" s="2">
        <v>-1808.67</v>
      </c>
      <c r="AK131" s="2">
        <v>-1808.67</v>
      </c>
      <c r="AL131" s="2">
        <v>29423.88</v>
      </c>
      <c r="AM131" s="2">
        <v>-1808.63</v>
      </c>
      <c r="AN131" s="2">
        <v>-1904.75</v>
      </c>
      <c r="AO131" s="2">
        <v>-1904.75</v>
      </c>
      <c r="AP131" s="2">
        <v>-1904.75</v>
      </c>
      <c r="AQ131" s="2">
        <v>-1904.75</v>
      </c>
      <c r="AR131" s="2">
        <v>-1904.75</v>
      </c>
      <c r="AS131" s="2">
        <v>-1904.75</v>
      </c>
      <c r="AT131" s="2">
        <v>-1904.75</v>
      </c>
      <c r="AU131" s="2">
        <v>-1904.75</v>
      </c>
      <c r="AV131" s="2">
        <v>-8186.41</v>
      </c>
      <c r="AW131" s="1">
        <v>127</v>
      </c>
    </row>
    <row r="132" spans="1:49" ht="12.75">
      <c r="A132" s="5">
        <v>1717</v>
      </c>
      <c r="B132" s="2" t="s">
        <v>1081</v>
      </c>
      <c r="C132" s="305">
        <v>0</v>
      </c>
      <c r="D132" s="305">
        <v>0</v>
      </c>
      <c r="E132" s="305">
        <v>53577.68</v>
      </c>
      <c r="F132" s="305">
        <v>0</v>
      </c>
      <c r="G132" s="305">
        <v>0</v>
      </c>
      <c r="H132" s="305">
        <v>56107.82</v>
      </c>
      <c r="I132" s="305">
        <v>56107.82</v>
      </c>
      <c r="K132" s="3" t="s">
        <v>982</v>
      </c>
      <c r="L132" s="365"/>
      <c r="M132" s="2">
        <v>0</v>
      </c>
      <c r="N132" s="311">
        <v>170</v>
      </c>
      <c r="O132" s="310" t="s">
        <v>48</v>
      </c>
      <c r="V132" s="1">
        <v>0</v>
      </c>
      <c r="W132" s="1" t="s">
        <v>361</v>
      </c>
      <c r="X132" s="1" t="s">
        <v>1080</v>
      </c>
      <c r="Y132" s="2">
        <v>-32522.4</v>
      </c>
      <c r="Z132" s="2">
        <v>-2618.57</v>
      </c>
      <c r="AA132" s="2">
        <v>-2618.56</v>
      </c>
      <c r="AB132" s="2">
        <v>-1081.5</v>
      </c>
      <c r="AC132" s="2">
        <v>-53906.5</v>
      </c>
      <c r="AD132" s="365">
        <v>-1081.5</v>
      </c>
      <c r="AE132" s="365">
        <v>51743.5</v>
      </c>
      <c r="AF132" s="365">
        <v>-1081.5</v>
      </c>
      <c r="AG132" s="2">
        <v>0</v>
      </c>
      <c r="AH132" s="2">
        <v>0</v>
      </c>
      <c r="AI132" s="2">
        <v>2530.14</v>
      </c>
      <c r="AJ132" s="2">
        <v>53577.68</v>
      </c>
      <c r="AK132" s="2">
        <v>0</v>
      </c>
      <c r="AL132" s="2">
        <v>-13210.23</v>
      </c>
      <c r="AM132" s="2">
        <v>-42897.59</v>
      </c>
      <c r="AN132" s="2">
        <v>5328</v>
      </c>
      <c r="AO132" s="2">
        <v>-2664</v>
      </c>
      <c r="AP132" s="2">
        <v>-2664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1">
        <v>128</v>
      </c>
    </row>
    <row r="133" spans="1:49" ht="12.75">
      <c r="A133" s="5">
        <v>1740</v>
      </c>
      <c r="B133" s="2" t="s">
        <v>1082</v>
      </c>
      <c r="C133" s="305">
        <v>3400</v>
      </c>
      <c r="D133" s="305">
        <v>0</v>
      </c>
      <c r="E133" s="305">
        <v>-1000</v>
      </c>
      <c r="F133" s="305">
        <v>-37600</v>
      </c>
      <c r="G133" s="305">
        <v>0</v>
      </c>
      <c r="H133" s="305">
        <v>-38800</v>
      </c>
      <c r="I133" s="305">
        <v>-38800</v>
      </c>
      <c r="K133" s="3" t="s">
        <v>982</v>
      </c>
      <c r="L133" s="365"/>
      <c r="M133" s="2">
        <v>-37600</v>
      </c>
      <c r="N133" s="311">
        <v>170</v>
      </c>
      <c r="O133" s="310" t="s">
        <v>48</v>
      </c>
      <c r="V133" s="1">
        <v>0</v>
      </c>
      <c r="W133" s="1" t="s">
        <v>361</v>
      </c>
      <c r="X133" s="1" t="s">
        <v>1080</v>
      </c>
      <c r="Y133" s="2">
        <v>-800</v>
      </c>
      <c r="Z133" s="2">
        <v>-800</v>
      </c>
      <c r="AA133" s="2">
        <v>-800</v>
      </c>
      <c r="AB133" s="2">
        <v>-800</v>
      </c>
      <c r="AC133" s="2">
        <v>-1000</v>
      </c>
      <c r="AD133" s="365">
        <v>-800</v>
      </c>
      <c r="AE133" s="365">
        <v>-800</v>
      </c>
      <c r="AF133" s="365">
        <v>-1000</v>
      </c>
      <c r="AG133" s="2">
        <v>-1000</v>
      </c>
      <c r="AH133" s="2">
        <v>-1000</v>
      </c>
      <c r="AI133" s="2">
        <v>-1000</v>
      </c>
      <c r="AJ133" s="2">
        <v>-1000</v>
      </c>
      <c r="AK133" s="2">
        <v>-1000</v>
      </c>
      <c r="AL133" s="2">
        <v>-1000</v>
      </c>
      <c r="AM133" s="2">
        <v>-1000</v>
      </c>
      <c r="AN133" s="2">
        <v>-1000</v>
      </c>
      <c r="AO133" s="2">
        <v>-1000</v>
      </c>
      <c r="AP133" s="2">
        <v>-1000</v>
      </c>
      <c r="AQ133" s="2">
        <v>-1000</v>
      </c>
      <c r="AR133" s="2">
        <v>-800</v>
      </c>
      <c r="AS133" s="2">
        <v>7600</v>
      </c>
      <c r="AT133" s="2">
        <v>-1000</v>
      </c>
      <c r="AU133" s="2">
        <v>-1000</v>
      </c>
      <c r="AV133" s="2">
        <v>3400</v>
      </c>
      <c r="AW133" s="1">
        <v>129</v>
      </c>
    </row>
    <row r="134" spans="1:49" ht="12.75">
      <c r="A134" s="5">
        <v>1900</v>
      </c>
      <c r="B134" s="2" t="s">
        <v>1083</v>
      </c>
      <c r="C134" s="305">
        <v>-40537.5</v>
      </c>
      <c r="D134" s="305">
        <v>0</v>
      </c>
      <c r="E134" s="305">
        <v>-27300</v>
      </c>
      <c r="F134" s="305">
        <v>13314.5</v>
      </c>
      <c r="G134" s="305">
        <v>0</v>
      </c>
      <c r="H134" s="305">
        <v>18929.96</v>
      </c>
      <c r="I134" s="305">
        <v>18929.96</v>
      </c>
      <c r="K134" s="3" t="s">
        <v>982</v>
      </c>
      <c r="L134" s="365"/>
      <c r="M134" s="2">
        <v>13314.5</v>
      </c>
      <c r="N134" s="311">
        <v>191</v>
      </c>
      <c r="O134" s="310" t="s">
        <v>51</v>
      </c>
      <c r="V134" s="1">
        <v>0</v>
      </c>
      <c r="W134" s="1" t="s">
        <v>362</v>
      </c>
      <c r="X134" s="1" t="s">
        <v>1084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365">
        <v>0</v>
      </c>
      <c r="AE134" s="365">
        <v>0</v>
      </c>
      <c r="AF134" s="365">
        <v>59700.5</v>
      </c>
      <c r="AG134" s="2">
        <v>560.02</v>
      </c>
      <c r="AH134" s="2">
        <v>-7511</v>
      </c>
      <c r="AI134" s="2">
        <v>-6519.56</v>
      </c>
      <c r="AJ134" s="2">
        <v>-27300</v>
      </c>
      <c r="AK134" s="2">
        <v>29963</v>
      </c>
      <c r="AL134" s="2">
        <v>23053</v>
      </c>
      <c r="AM134" s="2">
        <v>-5363.6</v>
      </c>
      <c r="AN134" s="2">
        <v>-37193.5</v>
      </c>
      <c r="AO134" s="2">
        <v>24611.5</v>
      </c>
      <c r="AP134" s="2">
        <v>40785.2</v>
      </c>
      <c r="AQ134" s="2">
        <v>-98241.84</v>
      </c>
      <c r="AR134" s="2">
        <v>18627.41</v>
      </c>
      <c r="AS134" s="2">
        <v>-1074</v>
      </c>
      <c r="AT134" s="2">
        <v>13917.87</v>
      </c>
      <c r="AU134" s="2">
        <v>25837</v>
      </c>
      <c r="AV134" s="2">
        <v>-40537.5</v>
      </c>
      <c r="AW134" s="1">
        <v>130</v>
      </c>
    </row>
    <row r="135" spans="1:49" ht="12.75">
      <c r="A135" s="5">
        <v>1905</v>
      </c>
      <c r="B135" s="2" t="s">
        <v>194</v>
      </c>
      <c r="C135" s="305">
        <v>0</v>
      </c>
      <c r="D135" s="305">
        <v>0</v>
      </c>
      <c r="E135" s="305">
        <v>-1258.5</v>
      </c>
      <c r="F135" s="305">
        <v>0</v>
      </c>
      <c r="G135" s="305">
        <v>0</v>
      </c>
      <c r="H135" s="305">
        <v>0</v>
      </c>
      <c r="I135" s="305">
        <v>0</v>
      </c>
      <c r="K135" s="3" t="s">
        <v>982</v>
      </c>
      <c r="L135" s="365"/>
      <c r="M135" s="2">
        <v>0</v>
      </c>
      <c r="N135" s="311">
        <v>191</v>
      </c>
      <c r="O135" s="310" t="s">
        <v>51</v>
      </c>
      <c r="V135" s="1">
        <v>0</v>
      </c>
      <c r="W135" s="1" t="s">
        <v>362</v>
      </c>
      <c r="X135" s="1" t="s">
        <v>1084</v>
      </c>
      <c r="Y135" s="2">
        <v>0</v>
      </c>
      <c r="Z135" s="2">
        <v>0</v>
      </c>
      <c r="AA135" s="2">
        <v>0</v>
      </c>
      <c r="AB135" s="2">
        <v>0</v>
      </c>
      <c r="AC135" s="2">
        <v>120</v>
      </c>
      <c r="AD135" s="365">
        <v>300</v>
      </c>
      <c r="AE135" s="365">
        <v>0</v>
      </c>
      <c r="AF135" s="365">
        <v>0</v>
      </c>
      <c r="AG135" s="2">
        <v>838.5</v>
      </c>
      <c r="AH135" s="2">
        <v>0</v>
      </c>
      <c r="AI135" s="2">
        <v>0</v>
      </c>
      <c r="AJ135" s="2">
        <v>-1258.5</v>
      </c>
      <c r="AK135" s="2">
        <v>0</v>
      </c>
      <c r="AL135" s="2">
        <v>0</v>
      </c>
      <c r="AM135" s="2">
        <v>0</v>
      </c>
      <c r="AN135" s="2">
        <v>-459.4</v>
      </c>
      <c r="AO135" s="2">
        <v>0</v>
      </c>
      <c r="AP135" s="2">
        <v>459.4</v>
      </c>
      <c r="AQ135" s="2">
        <v>442</v>
      </c>
      <c r="AR135" s="2">
        <v>-442</v>
      </c>
      <c r="AS135" s="2">
        <v>0</v>
      </c>
      <c r="AT135" s="2">
        <v>0</v>
      </c>
      <c r="AU135" s="2">
        <v>0</v>
      </c>
      <c r="AV135" s="2">
        <v>0</v>
      </c>
      <c r="AW135" s="1">
        <v>131</v>
      </c>
    </row>
    <row r="136" spans="1:49" ht="12.75">
      <c r="A136" s="5">
        <v>1910</v>
      </c>
      <c r="B136" s="2" t="s">
        <v>1085</v>
      </c>
      <c r="C136" s="305">
        <v>0</v>
      </c>
      <c r="D136" s="305">
        <v>0</v>
      </c>
      <c r="E136" s="305">
        <v>-5925</v>
      </c>
      <c r="F136" s="305">
        <v>6000</v>
      </c>
      <c r="G136" s="305">
        <v>0</v>
      </c>
      <c r="H136" s="305">
        <v>6000</v>
      </c>
      <c r="I136" s="305">
        <v>6000</v>
      </c>
      <c r="K136" s="3" t="s">
        <v>982</v>
      </c>
      <c r="L136" s="365"/>
      <c r="M136" s="2">
        <v>6000</v>
      </c>
      <c r="N136" s="311">
        <v>191</v>
      </c>
      <c r="O136" s="310" t="s">
        <v>51</v>
      </c>
      <c r="V136" s="1">
        <v>0</v>
      </c>
      <c r="W136" s="1" t="s">
        <v>362</v>
      </c>
      <c r="X136" s="1" t="s">
        <v>1084</v>
      </c>
      <c r="Y136" s="2">
        <v>0</v>
      </c>
      <c r="Z136" s="2">
        <v>9841</v>
      </c>
      <c r="AA136" s="2">
        <v>0</v>
      </c>
      <c r="AB136" s="2">
        <v>15625</v>
      </c>
      <c r="AC136" s="2">
        <v>-1671</v>
      </c>
      <c r="AD136" s="365">
        <v>0</v>
      </c>
      <c r="AE136" s="365">
        <v>4106</v>
      </c>
      <c r="AF136" s="365">
        <v>-137786</v>
      </c>
      <c r="AG136" s="2">
        <v>109885</v>
      </c>
      <c r="AH136" s="2">
        <v>1190</v>
      </c>
      <c r="AI136" s="2">
        <v>4735</v>
      </c>
      <c r="AJ136" s="2">
        <v>-5925</v>
      </c>
      <c r="AK136" s="2">
        <v>0</v>
      </c>
      <c r="AL136" s="2">
        <v>3520</v>
      </c>
      <c r="AM136" s="2">
        <v>0</v>
      </c>
      <c r="AN136" s="2">
        <v>0</v>
      </c>
      <c r="AO136" s="2">
        <v>0</v>
      </c>
      <c r="AP136" s="2">
        <v>0</v>
      </c>
      <c r="AQ136" s="2">
        <v>-3520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1">
        <v>132</v>
      </c>
    </row>
    <row r="137" spans="1:49" ht="12.75">
      <c r="A137" s="5">
        <v>1911</v>
      </c>
      <c r="B137" s="2" t="s">
        <v>1086</v>
      </c>
      <c r="C137" s="305">
        <v>0</v>
      </c>
      <c r="D137" s="305">
        <v>0</v>
      </c>
      <c r="E137" s="305">
        <v>0</v>
      </c>
      <c r="F137" s="305">
        <v>7000</v>
      </c>
      <c r="G137" s="305">
        <v>0</v>
      </c>
      <c r="H137" s="305">
        <v>7000</v>
      </c>
      <c r="I137" s="305">
        <v>7000</v>
      </c>
      <c r="K137" s="3" t="s">
        <v>982</v>
      </c>
      <c r="L137" s="365"/>
      <c r="M137" s="2">
        <v>7000</v>
      </c>
      <c r="N137" s="311">
        <v>191</v>
      </c>
      <c r="O137" s="310" t="s">
        <v>51</v>
      </c>
      <c r="V137" s="1">
        <v>0</v>
      </c>
      <c r="W137" s="1" t="s">
        <v>362</v>
      </c>
      <c r="X137" s="1" t="s">
        <v>1084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365">
        <v>0</v>
      </c>
      <c r="AE137" s="365">
        <v>0</v>
      </c>
      <c r="AF137" s="365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1">
        <v>133</v>
      </c>
    </row>
    <row r="138" spans="1:49" ht="12.75">
      <c r="A138" s="5">
        <v>1912</v>
      </c>
      <c r="B138" s="2" t="s">
        <v>438</v>
      </c>
      <c r="C138" s="305">
        <v>0</v>
      </c>
      <c r="D138" s="305">
        <v>0</v>
      </c>
      <c r="E138" s="305">
        <v>110</v>
      </c>
      <c r="F138" s="305">
        <v>0</v>
      </c>
      <c r="G138" s="305">
        <v>0</v>
      </c>
      <c r="H138" s="305">
        <v>0</v>
      </c>
      <c r="I138" s="305">
        <v>0</v>
      </c>
      <c r="K138" s="3" t="s">
        <v>982</v>
      </c>
      <c r="L138" s="365"/>
      <c r="M138" s="2">
        <v>0</v>
      </c>
      <c r="N138" s="311">
        <v>191</v>
      </c>
      <c r="O138" s="310" t="s">
        <v>51</v>
      </c>
      <c r="V138" s="1">
        <v>0</v>
      </c>
      <c r="W138" s="1" t="s">
        <v>362</v>
      </c>
      <c r="X138" s="1" t="s">
        <v>1084</v>
      </c>
      <c r="Y138" s="2">
        <v>25021.61</v>
      </c>
      <c r="Z138" s="2">
        <v>0</v>
      </c>
      <c r="AA138" s="2">
        <v>-25021.61</v>
      </c>
      <c r="AB138" s="2">
        <v>0</v>
      </c>
      <c r="AC138" s="2">
        <v>0</v>
      </c>
      <c r="AD138" s="365">
        <v>0</v>
      </c>
      <c r="AE138" s="365">
        <v>0</v>
      </c>
      <c r="AF138" s="365">
        <v>0</v>
      </c>
      <c r="AG138" s="2">
        <v>0</v>
      </c>
      <c r="AH138" s="2">
        <v>0</v>
      </c>
      <c r="AI138" s="2">
        <v>-110</v>
      </c>
      <c r="AJ138" s="2">
        <v>110</v>
      </c>
      <c r="AK138" s="2">
        <v>-606</v>
      </c>
      <c r="AL138" s="2">
        <v>606</v>
      </c>
      <c r="AM138" s="2">
        <v>0</v>
      </c>
      <c r="AN138" s="2">
        <v>459.4</v>
      </c>
      <c r="AO138" s="2">
        <v>338</v>
      </c>
      <c r="AP138" s="2">
        <v>-797.1</v>
      </c>
      <c r="AQ138" s="2">
        <v>0</v>
      </c>
      <c r="AR138" s="2">
        <v>-0.3</v>
      </c>
      <c r="AS138" s="2">
        <v>0</v>
      </c>
      <c r="AT138" s="2">
        <v>0</v>
      </c>
      <c r="AU138" s="2">
        <v>0</v>
      </c>
      <c r="AV138" s="2">
        <v>0</v>
      </c>
      <c r="AW138" s="1">
        <v>134</v>
      </c>
    </row>
    <row r="139" spans="1:49" ht="12.75">
      <c r="A139" s="5">
        <v>1920</v>
      </c>
      <c r="B139" s="2" t="s">
        <v>1087</v>
      </c>
      <c r="C139" s="305">
        <v>0</v>
      </c>
      <c r="D139" s="305">
        <v>0</v>
      </c>
      <c r="E139" s="305">
        <v>0</v>
      </c>
      <c r="F139" s="305">
        <v>-151386.19</v>
      </c>
      <c r="G139" s="305">
        <v>0</v>
      </c>
      <c r="H139" s="305">
        <v>-151386.19</v>
      </c>
      <c r="I139" s="305">
        <v>-151386.19</v>
      </c>
      <c r="K139" s="3" t="s">
        <v>23</v>
      </c>
      <c r="L139" s="365"/>
      <c r="M139" s="2">
        <v>-151386.19</v>
      </c>
      <c r="N139" s="311">
        <v>190</v>
      </c>
      <c r="O139" s="310" t="s">
        <v>35</v>
      </c>
      <c r="V139" s="1">
        <v>0</v>
      </c>
      <c r="W139" s="1" t="s">
        <v>362</v>
      </c>
      <c r="X139" s="1" t="s">
        <v>1088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365">
        <v>0</v>
      </c>
      <c r="AE139" s="365">
        <v>0</v>
      </c>
      <c r="AF139" s="365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1">
        <v>135</v>
      </c>
    </row>
    <row r="140" spans="1:49" ht="12.75">
      <c r="A140" s="5">
        <v>1920</v>
      </c>
      <c r="B140" s="2" t="s">
        <v>1087</v>
      </c>
      <c r="C140" s="305">
        <v>-220262.41</v>
      </c>
      <c r="D140" s="305">
        <v>0</v>
      </c>
      <c r="E140" s="305">
        <v>-161153.51</v>
      </c>
      <c r="F140" s="305">
        <v>828651.31</v>
      </c>
      <c r="G140" s="305">
        <v>0</v>
      </c>
      <c r="H140" s="305">
        <v>1142163.16</v>
      </c>
      <c r="I140" s="305">
        <v>1142163.16</v>
      </c>
      <c r="K140" s="3" t="s">
        <v>982</v>
      </c>
      <c r="L140" s="365"/>
      <c r="M140" s="2">
        <v>828651.31</v>
      </c>
      <c r="N140" s="311">
        <v>190</v>
      </c>
      <c r="O140" s="310" t="s">
        <v>35</v>
      </c>
      <c r="V140" s="1">
        <v>0</v>
      </c>
      <c r="W140" s="1" t="s">
        <v>362</v>
      </c>
      <c r="X140" s="1" t="s">
        <v>1089</v>
      </c>
      <c r="Y140" s="2">
        <v>350581.08</v>
      </c>
      <c r="Z140" s="2">
        <v>-348033.66</v>
      </c>
      <c r="AA140" s="2">
        <v>162453.94</v>
      </c>
      <c r="AB140" s="2">
        <v>-26222.44</v>
      </c>
      <c r="AC140" s="2">
        <v>451732.16</v>
      </c>
      <c r="AD140" s="365">
        <v>287226.71</v>
      </c>
      <c r="AE140" s="365">
        <v>187747</v>
      </c>
      <c r="AF140" s="365">
        <v>-89568.39</v>
      </c>
      <c r="AG140" s="2">
        <v>-621275.96</v>
      </c>
      <c r="AH140" s="2">
        <v>-232365.61</v>
      </c>
      <c r="AI140" s="2">
        <v>225291.42</v>
      </c>
      <c r="AJ140" s="2">
        <v>-161153.51</v>
      </c>
      <c r="AK140" s="2">
        <v>244433.67</v>
      </c>
      <c r="AL140" s="2">
        <v>-584449.39</v>
      </c>
      <c r="AM140" s="2">
        <v>-60359.25</v>
      </c>
      <c r="AN140" s="2">
        <v>22895.32</v>
      </c>
      <c r="AO140" s="2">
        <v>-388556.78</v>
      </c>
      <c r="AP140" s="2">
        <v>1001528.57</v>
      </c>
      <c r="AQ140" s="2">
        <v>59625.84</v>
      </c>
      <c r="AR140" s="2">
        <v>-458885.1</v>
      </c>
      <c r="AS140" s="2">
        <v>-131536.83</v>
      </c>
      <c r="AT140" s="2">
        <v>-356973.89</v>
      </c>
      <c r="AU140" s="2">
        <v>559028.4</v>
      </c>
      <c r="AV140" s="2">
        <v>-220262.41</v>
      </c>
      <c r="AW140" s="1">
        <v>136</v>
      </c>
    </row>
    <row r="141" spans="1:49" ht="12.75">
      <c r="A141" s="5">
        <v>1922</v>
      </c>
      <c r="B141" s="2" t="s">
        <v>1090</v>
      </c>
      <c r="C141" s="305">
        <v>8217</v>
      </c>
      <c r="D141" s="305">
        <v>0</v>
      </c>
      <c r="E141" s="305">
        <v>8388</v>
      </c>
      <c r="F141" s="305">
        <v>219187.4</v>
      </c>
      <c r="G141" s="305">
        <v>0</v>
      </c>
      <c r="H141" s="305">
        <v>142237.4</v>
      </c>
      <c r="I141" s="305">
        <v>142237.4</v>
      </c>
      <c r="K141" s="3" t="s">
        <v>982</v>
      </c>
      <c r="L141" s="365"/>
      <c r="M141" s="2">
        <v>219187.4</v>
      </c>
      <c r="N141" s="311">
        <v>190</v>
      </c>
      <c r="O141" s="310" t="s">
        <v>35</v>
      </c>
      <c r="V141" s="1">
        <v>0</v>
      </c>
      <c r="W141" s="1" t="s">
        <v>362</v>
      </c>
      <c r="X141" s="1" t="s">
        <v>1089</v>
      </c>
      <c r="Y141" s="2">
        <v>8223</v>
      </c>
      <c r="Z141" s="2">
        <v>10426</v>
      </c>
      <c r="AA141" s="2">
        <v>13036</v>
      </c>
      <c r="AB141" s="2">
        <v>8085</v>
      </c>
      <c r="AC141" s="2">
        <v>8257</v>
      </c>
      <c r="AD141" s="365">
        <v>10406</v>
      </c>
      <c r="AE141" s="365">
        <v>-300</v>
      </c>
      <c r="AF141" s="365">
        <v>16617.4</v>
      </c>
      <c r="AG141" s="2">
        <v>-40425</v>
      </c>
      <c r="AH141" s="2">
        <v>6548</v>
      </c>
      <c r="AI141" s="2">
        <v>10356</v>
      </c>
      <c r="AJ141" s="2">
        <v>8388</v>
      </c>
      <c r="AK141" s="2">
        <v>9977</v>
      </c>
      <c r="AL141" s="2">
        <v>5546</v>
      </c>
      <c r="AM141" s="2">
        <v>6067</v>
      </c>
      <c r="AN141" s="2">
        <v>7177</v>
      </c>
      <c r="AO141" s="2">
        <v>4785</v>
      </c>
      <c r="AP141" s="2">
        <v>6752</v>
      </c>
      <c r="AQ141" s="2">
        <v>5291</v>
      </c>
      <c r="AR141" s="2">
        <v>2931</v>
      </c>
      <c r="AS141" s="2">
        <v>8559</v>
      </c>
      <c r="AT141" s="2">
        <v>5351</v>
      </c>
      <c r="AU141" s="2">
        <v>6297</v>
      </c>
      <c r="AV141" s="2">
        <v>8217</v>
      </c>
      <c r="AW141" s="1">
        <v>137</v>
      </c>
    </row>
    <row r="142" spans="1:49" ht="12.75">
      <c r="A142" s="5">
        <v>1923</v>
      </c>
      <c r="B142" s="2" t="s">
        <v>1091</v>
      </c>
      <c r="C142" s="305">
        <v>0</v>
      </c>
      <c r="D142" s="305">
        <v>0</v>
      </c>
      <c r="E142" s="305">
        <v>-2457723</v>
      </c>
      <c r="F142" s="305">
        <v>2672661</v>
      </c>
      <c r="G142" s="305">
        <v>0</v>
      </c>
      <c r="H142" s="305">
        <v>3672661</v>
      </c>
      <c r="I142" s="305">
        <v>3672661</v>
      </c>
      <c r="K142" s="3" t="s">
        <v>982</v>
      </c>
      <c r="L142" s="365"/>
      <c r="M142" s="2">
        <v>2672661</v>
      </c>
      <c r="N142" s="311">
        <v>190</v>
      </c>
      <c r="O142" s="310" t="s">
        <v>35</v>
      </c>
      <c r="V142" s="1">
        <v>0</v>
      </c>
      <c r="W142" s="1" t="s">
        <v>362</v>
      </c>
      <c r="X142" s="1" t="s">
        <v>1089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365">
        <v>0</v>
      </c>
      <c r="AE142" s="365">
        <v>0</v>
      </c>
      <c r="AF142" s="365">
        <v>0</v>
      </c>
      <c r="AG142" s="2">
        <v>450000</v>
      </c>
      <c r="AH142" s="2">
        <v>0</v>
      </c>
      <c r="AI142" s="2">
        <v>0</v>
      </c>
      <c r="AJ142" s="2">
        <v>-2457723</v>
      </c>
      <c r="AK142" s="2">
        <v>0</v>
      </c>
      <c r="AL142" s="2">
        <v>0</v>
      </c>
      <c r="AM142" s="2">
        <v>-1000000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1">
        <v>138</v>
      </c>
    </row>
    <row r="143" spans="1:49" ht="12.75">
      <c r="A143" s="5">
        <v>1950</v>
      </c>
      <c r="B143" s="2" t="s">
        <v>1092</v>
      </c>
      <c r="C143" s="305">
        <v>54949</v>
      </c>
      <c r="D143" s="305">
        <v>0</v>
      </c>
      <c r="E143" s="305">
        <v>61268</v>
      </c>
      <c r="F143" s="305">
        <v>85248</v>
      </c>
      <c r="G143" s="305">
        <v>0</v>
      </c>
      <c r="H143" s="305">
        <v>92686</v>
      </c>
      <c r="I143" s="305">
        <v>92686</v>
      </c>
      <c r="K143" s="3" t="s">
        <v>982</v>
      </c>
      <c r="L143" s="365"/>
      <c r="M143" s="2">
        <v>85248</v>
      </c>
      <c r="N143" s="311">
        <v>190</v>
      </c>
      <c r="O143" s="310" t="s">
        <v>35</v>
      </c>
      <c r="V143" s="1">
        <v>0</v>
      </c>
      <c r="W143" s="1" t="s">
        <v>362</v>
      </c>
      <c r="X143" s="1" t="s">
        <v>1089</v>
      </c>
      <c r="Y143" s="2">
        <v>-31545</v>
      </c>
      <c r="Z143" s="2">
        <v>53745</v>
      </c>
      <c r="AA143" s="2">
        <v>-57119</v>
      </c>
      <c r="AB143" s="2">
        <v>58132</v>
      </c>
      <c r="AC143" s="2">
        <v>-42647</v>
      </c>
      <c r="AD143" s="365">
        <v>64065</v>
      </c>
      <c r="AE143" s="365">
        <v>-68281</v>
      </c>
      <c r="AF143" s="365">
        <v>54300</v>
      </c>
      <c r="AG143" s="2">
        <v>-49622</v>
      </c>
      <c r="AH143" s="2">
        <v>58862</v>
      </c>
      <c r="AI143" s="2">
        <v>-89676</v>
      </c>
      <c r="AJ143" s="2">
        <v>61268</v>
      </c>
      <c r="AK143" s="2">
        <v>-43824</v>
      </c>
      <c r="AL143" s="2">
        <v>50991</v>
      </c>
      <c r="AM143" s="2">
        <v>-49411</v>
      </c>
      <c r="AN143" s="2">
        <v>56516</v>
      </c>
      <c r="AO143" s="2">
        <v>-50941</v>
      </c>
      <c r="AP143" s="2">
        <v>59626</v>
      </c>
      <c r="AQ143" s="2">
        <v>-63421</v>
      </c>
      <c r="AR143" s="2">
        <v>45734</v>
      </c>
      <c r="AS143" s="2">
        <v>-50572</v>
      </c>
      <c r="AT143" s="2">
        <v>46371</v>
      </c>
      <c r="AU143" s="2">
        <v>-63456</v>
      </c>
      <c r="AV143" s="2">
        <v>54949</v>
      </c>
      <c r="AW143" s="1">
        <v>139</v>
      </c>
    </row>
    <row r="144" spans="1:49" ht="12.75">
      <c r="A144" s="5">
        <v>2000</v>
      </c>
      <c r="B144" s="2" t="s">
        <v>103</v>
      </c>
      <c r="C144" s="305">
        <v>0</v>
      </c>
      <c r="D144" s="305">
        <v>0</v>
      </c>
      <c r="E144" s="305">
        <v>0</v>
      </c>
      <c r="F144" s="305">
        <v>-100000</v>
      </c>
      <c r="G144" s="305">
        <v>0</v>
      </c>
      <c r="H144" s="305">
        <v>-100000</v>
      </c>
      <c r="I144" s="305">
        <v>-100000</v>
      </c>
      <c r="K144" s="3" t="s">
        <v>982</v>
      </c>
      <c r="L144" s="365"/>
      <c r="M144" s="2">
        <v>-100000</v>
      </c>
      <c r="N144" s="311">
        <v>201</v>
      </c>
      <c r="O144" s="310" t="s">
        <v>183</v>
      </c>
      <c r="V144" s="1">
        <v>0</v>
      </c>
      <c r="W144" s="1" t="s">
        <v>104</v>
      </c>
      <c r="X144" s="1" t="s">
        <v>1093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365">
        <v>0</v>
      </c>
      <c r="AE144" s="365">
        <v>0</v>
      </c>
      <c r="AF144" s="365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1">
        <v>140</v>
      </c>
    </row>
    <row r="145" spans="1:49" ht="12.75">
      <c r="A145" s="5">
        <v>2050</v>
      </c>
      <c r="B145" s="2" t="s">
        <v>823</v>
      </c>
      <c r="C145" s="305">
        <v>0</v>
      </c>
      <c r="D145" s="305">
        <v>0</v>
      </c>
      <c r="E145" s="305">
        <v>400855.18</v>
      </c>
      <c r="F145" s="305">
        <v>-3501617.26</v>
      </c>
      <c r="G145" s="305">
        <v>0</v>
      </c>
      <c r="H145" s="305">
        <v>-3501617.26</v>
      </c>
      <c r="I145" s="305">
        <v>-3501617.26</v>
      </c>
      <c r="K145" s="3" t="s">
        <v>982</v>
      </c>
      <c r="L145" s="365"/>
      <c r="M145" s="2">
        <v>-3501617.26</v>
      </c>
      <c r="N145" s="311">
        <v>201</v>
      </c>
      <c r="O145" s="310" t="s">
        <v>183</v>
      </c>
      <c r="V145" s="1">
        <v>0</v>
      </c>
      <c r="W145" s="1" t="s">
        <v>1094</v>
      </c>
      <c r="X145" s="1" t="s">
        <v>1093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365">
        <v>0</v>
      </c>
      <c r="AE145" s="365">
        <v>0</v>
      </c>
      <c r="AF145" s="365">
        <v>0</v>
      </c>
      <c r="AG145" s="2">
        <v>0</v>
      </c>
      <c r="AH145" s="2">
        <v>0</v>
      </c>
      <c r="AI145" s="2">
        <v>0</v>
      </c>
      <c r="AJ145" s="2">
        <v>400855.18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1">
        <v>141</v>
      </c>
    </row>
    <row r="146" spans="1:49" ht="12.75">
      <c r="A146" s="5">
        <v>2400</v>
      </c>
      <c r="B146" s="2" t="s">
        <v>62</v>
      </c>
      <c r="C146" s="305">
        <v>0</v>
      </c>
      <c r="D146" s="305">
        <v>0</v>
      </c>
      <c r="E146" s="305">
        <v>0</v>
      </c>
      <c r="F146" s="305">
        <v>432503.73</v>
      </c>
      <c r="G146" s="305">
        <v>0</v>
      </c>
      <c r="H146" s="305">
        <v>331509.73</v>
      </c>
      <c r="I146" s="305">
        <v>331509.73</v>
      </c>
      <c r="K146" s="3" t="s">
        <v>23</v>
      </c>
      <c r="L146" s="365"/>
      <c r="M146" s="2">
        <v>432503.73</v>
      </c>
      <c r="N146" s="311">
        <v>240</v>
      </c>
      <c r="O146" s="310" t="s">
        <v>62</v>
      </c>
      <c r="V146" s="1">
        <v>0</v>
      </c>
      <c r="W146" s="1" t="s">
        <v>93</v>
      </c>
      <c r="X146" s="1" t="s">
        <v>363</v>
      </c>
      <c r="Y146" s="2">
        <v>0</v>
      </c>
      <c r="Z146" s="2">
        <v>0</v>
      </c>
      <c r="AA146" s="2">
        <v>0</v>
      </c>
      <c r="AB146" s="2">
        <v>0</v>
      </c>
      <c r="AC146" s="2">
        <v>7296.56</v>
      </c>
      <c r="AD146" s="365">
        <v>-6130</v>
      </c>
      <c r="AE146" s="365">
        <v>6130</v>
      </c>
      <c r="AF146" s="365">
        <v>0</v>
      </c>
      <c r="AG146" s="2">
        <v>4000</v>
      </c>
      <c r="AH146" s="2">
        <v>-15081</v>
      </c>
      <c r="AI146" s="2">
        <v>7602.46</v>
      </c>
      <c r="AJ146" s="2">
        <v>0</v>
      </c>
      <c r="AK146" s="2">
        <v>0</v>
      </c>
      <c r="AL146" s="2">
        <v>-2861</v>
      </c>
      <c r="AM146" s="2">
        <v>0</v>
      </c>
      <c r="AN146" s="2">
        <v>-5486.85</v>
      </c>
      <c r="AO146" s="2">
        <v>3505.85</v>
      </c>
      <c r="AP146" s="2">
        <v>105836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1">
        <v>142</v>
      </c>
    </row>
    <row r="147" spans="1:49" ht="12.75">
      <c r="A147" s="5">
        <v>2400</v>
      </c>
      <c r="B147" s="2" t="s">
        <v>62</v>
      </c>
      <c r="C147" s="305">
        <v>89376.49</v>
      </c>
      <c r="D147" s="305">
        <v>0</v>
      </c>
      <c r="E147" s="305">
        <v>-220035.71</v>
      </c>
      <c r="F147" s="305">
        <v>-740816.5</v>
      </c>
      <c r="G147" s="305">
        <v>0</v>
      </c>
      <c r="H147" s="305">
        <v>-901301.04</v>
      </c>
      <c r="I147" s="305">
        <v>-901301.04</v>
      </c>
      <c r="K147" s="3" t="s">
        <v>982</v>
      </c>
      <c r="L147" s="365"/>
      <c r="M147" s="2">
        <v>-740816.5</v>
      </c>
      <c r="N147" s="311">
        <v>240</v>
      </c>
      <c r="O147" s="310" t="s">
        <v>62</v>
      </c>
      <c r="V147" s="1">
        <v>0</v>
      </c>
      <c r="W147" s="1" t="s">
        <v>93</v>
      </c>
      <c r="X147" s="1" t="s">
        <v>1095</v>
      </c>
      <c r="Y147" s="2">
        <v>-225824.88</v>
      </c>
      <c r="Z147" s="2">
        <v>81216.03</v>
      </c>
      <c r="AA147" s="2">
        <v>-416721.62</v>
      </c>
      <c r="AB147" s="2">
        <v>624596.46</v>
      </c>
      <c r="AC147" s="2">
        <v>-352033.04</v>
      </c>
      <c r="AD147" s="365">
        <v>152912.47</v>
      </c>
      <c r="AE147" s="365">
        <v>-404263.85</v>
      </c>
      <c r="AF147" s="365">
        <v>759971.48</v>
      </c>
      <c r="AG147" s="2">
        <v>-159200.19</v>
      </c>
      <c r="AH147" s="2">
        <v>230032.59</v>
      </c>
      <c r="AI147" s="2">
        <v>192527.06</v>
      </c>
      <c r="AJ147" s="2">
        <v>-220035.71</v>
      </c>
      <c r="AK147" s="2">
        <v>-104976.85</v>
      </c>
      <c r="AL147" s="2">
        <v>266790.16</v>
      </c>
      <c r="AM147" s="2">
        <v>-473311.81</v>
      </c>
      <c r="AN147" s="2">
        <v>291955.85</v>
      </c>
      <c r="AO147" s="2">
        <v>331646.06</v>
      </c>
      <c r="AP147" s="2">
        <v>-996091.64</v>
      </c>
      <c r="AQ147" s="2">
        <v>128584.19</v>
      </c>
      <c r="AR147" s="2">
        <v>466100.27</v>
      </c>
      <c r="AS147" s="2">
        <v>2824.14</v>
      </c>
      <c r="AT147" s="2">
        <v>372609.86</v>
      </c>
      <c r="AU147" s="2">
        <v>-215022.18</v>
      </c>
      <c r="AV147" s="2">
        <v>89376.49</v>
      </c>
      <c r="AW147" s="1">
        <v>143</v>
      </c>
    </row>
    <row r="148" spans="1:49" ht="12.75">
      <c r="A148" s="5">
        <v>2460</v>
      </c>
      <c r="B148" s="2" t="s">
        <v>409</v>
      </c>
      <c r="C148" s="305">
        <v>0</v>
      </c>
      <c r="D148" s="305">
        <v>0</v>
      </c>
      <c r="E148" s="305">
        <v>0</v>
      </c>
      <c r="F148" s="305">
        <v>-352355.36</v>
      </c>
      <c r="G148" s="305">
        <v>0</v>
      </c>
      <c r="H148" s="305">
        <v>-404410.71</v>
      </c>
      <c r="I148" s="305">
        <v>-404410.71</v>
      </c>
      <c r="K148" s="3" t="s">
        <v>23</v>
      </c>
      <c r="L148" s="365"/>
      <c r="M148" s="2">
        <v>-352355.36</v>
      </c>
      <c r="N148" s="311">
        <v>246</v>
      </c>
      <c r="O148" s="310" t="s">
        <v>91</v>
      </c>
      <c r="V148" s="1">
        <v>0</v>
      </c>
      <c r="W148" s="1" t="s">
        <v>93</v>
      </c>
      <c r="X148" s="1" t="s">
        <v>408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365">
        <v>0</v>
      </c>
      <c r="AE148" s="365">
        <v>0</v>
      </c>
      <c r="AF148" s="365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53621.99</v>
      </c>
      <c r="AP148" s="2">
        <v>0</v>
      </c>
      <c r="AQ148" s="2">
        <v>0</v>
      </c>
      <c r="AR148" s="2">
        <v>0</v>
      </c>
      <c r="AS148" s="2">
        <v>-1566.64</v>
      </c>
      <c r="AT148" s="2">
        <v>0</v>
      </c>
      <c r="AU148" s="2">
        <v>0</v>
      </c>
      <c r="AV148" s="2">
        <v>0</v>
      </c>
      <c r="AW148" s="1">
        <v>144</v>
      </c>
    </row>
    <row r="149" spans="1:49" ht="12.75">
      <c r="A149" s="5">
        <v>2460</v>
      </c>
      <c r="B149" s="2" t="s">
        <v>409</v>
      </c>
      <c r="C149" s="305">
        <v>230520.06</v>
      </c>
      <c r="D149" s="305">
        <v>0</v>
      </c>
      <c r="E149" s="305">
        <v>45956.26</v>
      </c>
      <c r="F149" s="305">
        <v>139968.2</v>
      </c>
      <c r="G149" s="305">
        <v>0</v>
      </c>
      <c r="H149" s="305">
        <v>230709.97</v>
      </c>
      <c r="I149" s="305">
        <v>230709.97</v>
      </c>
      <c r="K149" s="3" t="s">
        <v>982</v>
      </c>
      <c r="L149" s="365"/>
      <c r="M149" s="2">
        <v>139968.2</v>
      </c>
      <c r="N149" s="311">
        <v>246</v>
      </c>
      <c r="O149" s="310" t="s">
        <v>91</v>
      </c>
      <c r="V149" s="1">
        <v>0</v>
      </c>
      <c r="W149" s="1" t="s">
        <v>93</v>
      </c>
      <c r="X149" s="1" t="s">
        <v>1096</v>
      </c>
      <c r="Y149" s="2">
        <v>-104632.38</v>
      </c>
      <c r="Z149" s="2">
        <v>234509.04</v>
      </c>
      <c r="AA149" s="2">
        <v>-105842.51</v>
      </c>
      <c r="AB149" s="2">
        <v>128999.52</v>
      </c>
      <c r="AC149" s="2">
        <v>-106141.53</v>
      </c>
      <c r="AD149" s="365">
        <v>-186678.29</v>
      </c>
      <c r="AE149" s="365">
        <v>111309.07</v>
      </c>
      <c r="AF149" s="365">
        <v>-222865.1</v>
      </c>
      <c r="AG149" s="2">
        <v>229420.21</v>
      </c>
      <c r="AH149" s="2">
        <v>138880.55</v>
      </c>
      <c r="AI149" s="2">
        <v>-190989.9</v>
      </c>
      <c r="AJ149" s="2">
        <v>45956.26</v>
      </c>
      <c r="AK149" s="2">
        <v>55664.39</v>
      </c>
      <c r="AL149" s="2">
        <v>26143.78</v>
      </c>
      <c r="AM149" s="2">
        <v>-246604.89</v>
      </c>
      <c r="AN149" s="2">
        <v>169696.37</v>
      </c>
      <c r="AO149" s="2">
        <v>64612.65</v>
      </c>
      <c r="AP149" s="2">
        <v>-141265.6</v>
      </c>
      <c r="AQ149" s="2">
        <v>397054.6</v>
      </c>
      <c r="AR149" s="2">
        <v>-469281.76</v>
      </c>
      <c r="AS149" s="2">
        <v>-5382.58</v>
      </c>
      <c r="AT149" s="2">
        <v>102324.81</v>
      </c>
      <c r="AU149" s="2">
        <v>-274223.6</v>
      </c>
      <c r="AV149" s="2">
        <v>230520.06</v>
      </c>
      <c r="AW149" s="1">
        <v>145</v>
      </c>
    </row>
    <row r="150" spans="1:49" ht="12.75">
      <c r="A150" s="5">
        <v>2500</v>
      </c>
      <c r="B150" s="2" t="s">
        <v>144</v>
      </c>
      <c r="C150" s="305">
        <v>0</v>
      </c>
      <c r="D150" s="305">
        <v>0</v>
      </c>
      <c r="E150" s="305">
        <v>0</v>
      </c>
      <c r="F150" s="305">
        <v>162689</v>
      </c>
      <c r="G150" s="305">
        <v>0</v>
      </c>
      <c r="H150" s="305">
        <v>162689</v>
      </c>
      <c r="I150" s="305">
        <v>162689</v>
      </c>
      <c r="K150" s="3" t="s">
        <v>1097</v>
      </c>
      <c r="L150" s="365"/>
      <c r="M150" s="2">
        <v>162689</v>
      </c>
      <c r="N150" s="311">
        <v>250</v>
      </c>
      <c r="O150" s="310" t="s">
        <v>76</v>
      </c>
      <c r="V150" s="1">
        <v>0</v>
      </c>
      <c r="W150" s="1" t="s">
        <v>364</v>
      </c>
      <c r="X150" s="1" t="s">
        <v>1098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365">
        <v>0</v>
      </c>
      <c r="AE150" s="365">
        <v>0</v>
      </c>
      <c r="AF150" s="365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1">
        <v>146</v>
      </c>
    </row>
    <row r="151" spans="1:49" ht="12.75">
      <c r="A151" s="5">
        <v>2500</v>
      </c>
      <c r="B151" s="2" t="s">
        <v>144</v>
      </c>
      <c r="C151" s="305">
        <v>0</v>
      </c>
      <c r="D151" s="305">
        <v>0</v>
      </c>
      <c r="E151" s="305">
        <v>-301978</v>
      </c>
      <c r="F151" s="305">
        <v>-162689</v>
      </c>
      <c r="G151" s="305">
        <v>0</v>
      </c>
      <c r="H151" s="305">
        <v>-464667</v>
      </c>
      <c r="I151" s="305">
        <v>-464667</v>
      </c>
      <c r="K151" s="3" t="s">
        <v>982</v>
      </c>
      <c r="L151" s="365"/>
      <c r="M151" s="2">
        <v>-162689</v>
      </c>
      <c r="N151" s="311">
        <v>250</v>
      </c>
      <c r="O151" s="310" t="s">
        <v>76</v>
      </c>
      <c r="V151" s="1">
        <v>0</v>
      </c>
      <c r="W151" s="1" t="s">
        <v>364</v>
      </c>
      <c r="X151" s="1" t="s">
        <v>1099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365">
        <v>0</v>
      </c>
      <c r="AE151" s="365">
        <v>0</v>
      </c>
      <c r="AF151" s="365">
        <v>0</v>
      </c>
      <c r="AG151" s="2">
        <v>369426</v>
      </c>
      <c r="AH151" s="2">
        <v>0</v>
      </c>
      <c r="AI151" s="2">
        <v>0</v>
      </c>
      <c r="AJ151" s="2">
        <v>-301978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301978</v>
      </c>
      <c r="AT151" s="2">
        <v>0</v>
      </c>
      <c r="AU151" s="2">
        <v>0</v>
      </c>
      <c r="AV151" s="2">
        <v>0</v>
      </c>
      <c r="AW151" s="1">
        <v>147</v>
      </c>
    </row>
    <row r="152" spans="1:49" ht="12.75">
      <c r="A152" s="5">
        <v>2540</v>
      </c>
      <c r="B152" s="2" t="s">
        <v>824</v>
      </c>
      <c r="C152" s="305">
        <v>0</v>
      </c>
      <c r="D152" s="305">
        <v>0</v>
      </c>
      <c r="E152" s="305">
        <v>0</v>
      </c>
      <c r="F152" s="305">
        <v>-163514</v>
      </c>
      <c r="G152" s="305">
        <v>0</v>
      </c>
      <c r="H152" s="305">
        <v>-163514</v>
      </c>
      <c r="I152" s="305">
        <v>-163514</v>
      </c>
      <c r="K152" s="3" t="s">
        <v>1097</v>
      </c>
      <c r="L152" s="365"/>
      <c r="M152" s="2">
        <v>-163514</v>
      </c>
      <c r="N152" s="311">
        <v>250</v>
      </c>
      <c r="O152" s="310" t="s">
        <v>76</v>
      </c>
      <c r="V152" s="1">
        <v>0</v>
      </c>
      <c r="W152" s="1" t="s">
        <v>364</v>
      </c>
      <c r="X152" s="1" t="s">
        <v>1098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365">
        <v>0</v>
      </c>
      <c r="AE152" s="365">
        <v>0</v>
      </c>
      <c r="AF152" s="365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1">
        <v>148</v>
      </c>
    </row>
    <row r="153" spans="1:49" ht="12.75">
      <c r="A153" s="5">
        <v>2540</v>
      </c>
      <c r="B153" s="2" t="s">
        <v>824</v>
      </c>
      <c r="C153" s="305">
        <v>0</v>
      </c>
      <c r="D153" s="305">
        <v>0</v>
      </c>
      <c r="E153" s="305">
        <v>168027</v>
      </c>
      <c r="F153" s="305">
        <v>163514</v>
      </c>
      <c r="G153" s="305">
        <v>0</v>
      </c>
      <c r="H153" s="305">
        <v>163514</v>
      </c>
      <c r="I153" s="305">
        <v>163514</v>
      </c>
      <c r="K153" s="3" t="s">
        <v>982</v>
      </c>
      <c r="L153" s="365"/>
      <c r="M153" s="2">
        <v>163514</v>
      </c>
      <c r="N153" s="311">
        <v>250</v>
      </c>
      <c r="O153" s="310" t="s">
        <v>76</v>
      </c>
      <c r="V153" s="1">
        <v>0</v>
      </c>
      <c r="W153" s="1" t="s">
        <v>364</v>
      </c>
      <c r="X153" s="1" t="s">
        <v>1099</v>
      </c>
      <c r="Y153" s="2">
        <v>0</v>
      </c>
      <c r="Z153" s="2">
        <v>0</v>
      </c>
      <c r="AA153" s="2">
        <v>168027</v>
      </c>
      <c r="AB153" s="2">
        <v>0</v>
      </c>
      <c r="AC153" s="2">
        <v>0</v>
      </c>
      <c r="AD153" s="365">
        <v>0</v>
      </c>
      <c r="AE153" s="365">
        <v>0</v>
      </c>
      <c r="AF153" s="365">
        <v>0</v>
      </c>
      <c r="AG153" s="2">
        <v>-336054</v>
      </c>
      <c r="AH153" s="2">
        <v>0</v>
      </c>
      <c r="AI153" s="2">
        <v>0</v>
      </c>
      <c r="AJ153" s="2">
        <v>168027</v>
      </c>
      <c r="AK153" s="2">
        <v>184713</v>
      </c>
      <c r="AL153" s="2">
        <v>0</v>
      </c>
      <c r="AM153" s="2">
        <v>184713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-369426</v>
      </c>
      <c r="AT153" s="2">
        <v>0</v>
      </c>
      <c r="AU153" s="2">
        <v>0</v>
      </c>
      <c r="AV153" s="2">
        <v>0</v>
      </c>
      <c r="AW153" s="1">
        <v>149</v>
      </c>
    </row>
    <row r="154" spans="1:49" ht="12.75">
      <c r="A154" s="5">
        <v>2600</v>
      </c>
      <c r="B154" s="2" t="s">
        <v>160</v>
      </c>
      <c r="C154" s="305">
        <v>-54949</v>
      </c>
      <c r="D154" s="305">
        <v>0</v>
      </c>
      <c r="E154" s="305">
        <v>-229641</v>
      </c>
      <c r="F154" s="305">
        <v>-84956</v>
      </c>
      <c r="G154" s="305">
        <v>0</v>
      </c>
      <c r="H154" s="305">
        <v>-92394</v>
      </c>
      <c r="I154" s="305">
        <v>-92394</v>
      </c>
      <c r="K154" s="3" t="s">
        <v>982</v>
      </c>
      <c r="L154" s="365"/>
      <c r="M154" s="2">
        <v>-84956</v>
      </c>
      <c r="N154" s="311">
        <v>260</v>
      </c>
      <c r="O154" s="310" t="s">
        <v>66</v>
      </c>
      <c r="V154" s="1">
        <v>0</v>
      </c>
      <c r="W154" s="1" t="s">
        <v>365</v>
      </c>
      <c r="X154" s="1" t="s">
        <v>1100</v>
      </c>
      <c r="Y154" s="2">
        <v>199572</v>
      </c>
      <c r="Z154" s="2">
        <v>-53745</v>
      </c>
      <c r="AA154" s="2">
        <v>57119</v>
      </c>
      <c r="AB154" s="2">
        <v>-58132</v>
      </c>
      <c r="AC154" s="2">
        <v>42647</v>
      </c>
      <c r="AD154" s="365">
        <v>-64065</v>
      </c>
      <c r="AE154" s="365">
        <v>68281</v>
      </c>
      <c r="AF154" s="365">
        <v>-54300</v>
      </c>
      <c r="AG154" s="2">
        <v>49622</v>
      </c>
      <c r="AH154" s="2">
        <v>-58862</v>
      </c>
      <c r="AI154" s="2">
        <v>89676</v>
      </c>
      <c r="AJ154" s="2">
        <v>-229641</v>
      </c>
      <c r="AK154" s="2">
        <v>43824</v>
      </c>
      <c r="AL154" s="2">
        <v>-50991</v>
      </c>
      <c r="AM154" s="2">
        <v>49411</v>
      </c>
      <c r="AN154" s="2">
        <v>-56516</v>
      </c>
      <c r="AO154" s="2">
        <v>50941</v>
      </c>
      <c r="AP154" s="2">
        <v>-59626</v>
      </c>
      <c r="AQ154" s="2">
        <v>63421</v>
      </c>
      <c r="AR154" s="2">
        <v>-45734</v>
      </c>
      <c r="AS154" s="2">
        <v>50572</v>
      </c>
      <c r="AT154" s="2">
        <v>-46371</v>
      </c>
      <c r="AU154" s="2">
        <v>63456</v>
      </c>
      <c r="AV154" s="2">
        <v>-54949</v>
      </c>
      <c r="AW154" s="1">
        <v>150</v>
      </c>
    </row>
    <row r="155" spans="1:49" ht="12.75">
      <c r="A155" s="5">
        <v>2700</v>
      </c>
      <c r="B155" s="2" t="s">
        <v>36</v>
      </c>
      <c r="C155" s="305">
        <v>-523430.16</v>
      </c>
      <c r="D155" s="305">
        <v>0</v>
      </c>
      <c r="E155" s="305">
        <v>530933.9</v>
      </c>
      <c r="F155" s="305">
        <v>-1102405.86</v>
      </c>
      <c r="G155" s="305">
        <v>0</v>
      </c>
      <c r="H155" s="305">
        <v>0</v>
      </c>
      <c r="I155" s="305">
        <v>0</v>
      </c>
      <c r="K155" s="3" t="s">
        <v>982</v>
      </c>
      <c r="L155" s="365"/>
      <c r="M155" s="2">
        <v>-1102405.86</v>
      </c>
      <c r="N155" s="311">
        <v>270</v>
      </c>
      <c r="O155" s="310" t="s">
        <v>68</v>
      </c>
      <c r="V155" s="1">
        <v>0</v>
      </c>
      <c r="W155" s="1" t="s">
        <v>365</v>
      </c>
      <c r="X155" s="1" t="s">
        <v>1101</v>
      </c>
      <c r="Y155" s="2">
        <v>-467945.65</v>
      </c>
      <c r="Z155" s="2">
        <v>467945.65</v>
      </c>
      <c r="AA155" s="2">
        <v>-541016.46</v>
      </c>
      <c r="AB155" s="2">
        <v>541016.46</v>
      </c>
      <c r="AC155" s="2">
        <v>-676409.04</v>
      </c>
      <c r="AD155" s="365">
        <v>676409.04</v>
      </c>
      <c r="AE155" s="365">
        <v>-828448.59</v>
      </c>
      <c r="AF155" s="365">
        <v>828448.59</v>
      </c>
      <c r="AG155" s="2">
        <v>-547046.65</v>
      </c>
      <c r="AH155" s="2">
        <v>547046.65</v>
      </c>
      <c r="AI155" s="2">
        <v>-530933.9</v>
      </c>
      <c r="AJ155" s="2">
        <v>530933.9</v>
      </c>
      <c r="AK155" s="2">
        <v>-445262.57</v>
      </c>
      <c r="AL155" s="2">
        <v>445262.57</v>
      </c>
      <c r="AM155" s="2">
        <v>-586109.57</v>
      </c>
      <c r="AN155" s="2">
        <v>586109.57</v>
      </c>
      <c r="AO155" s="2">
        <v>-653038.08</v>
      </c>
      <c r="AP155" s="2">
        <v>653038.08</v>
      </c>
      <c r="AQ155" s="2">
        <v>-898261.21</v>
      </c>
      <c r="AR155" s="2">
        <v>898261.21</v>
      </c>
      <c r="AS155" s="2">
        <v>-595185.4</v>
      </c>
      <c r="AT155" s="2">
        <v>595185.4</v>
      </c>
      <c r="AU155" s="2">
        <v>-578975.7</v>
      </c>
      <c r="AV155" s="2">
        <v>-523430.16</v>
      </c>
      <c r="AW155" s="1">
        <v>151</v>
      </c>
    </row>
    <row r="156" spans="1:49" ht="12.75">
      <c r="A156" s="5">
        <v>2701</v>
      </c>
      <c r="B156" s="2" t="s">
        <v>105</v>
      </c>
      <c r="C156" s="305">
        <v>-46546.64</v>
      </c>
      <c r="D156" s="305">
        <v>0</v>
      </c>
      <c r="E156" s="305">
        <v>45970.15</v>
      </c>
      <c r="F156" s="305">
        <v>-93351.04</v>
      </c>
      <c r="G156" s="305">
        <v>0</v>
      </c>
      <c r="H156" s="305">
        <v>0</v>
      </c>
      <c r="I156" s="305">
        <v>0</v>
      </c>
      <c r="K156" s="3" t="s">
        <v>982</v>
      </c>
      <c r="L156" s="365"/>
      <c r="M156" s="2">
        <v>-93351.04</v>
      </c>
      <c r="N156" s="311">
        <v>270</v>
      </c>
      <c r="O156" s="310" t="s">
        <v>68</v>
      </c>
      <c r="V156" s="1">
        <v>0</v>
      </c>
      <c r="W156" s="1" t="s">
        <v>365</v>
      </c>
      <c r="X156" s="1" t="s">
        <v>1101</v>
      </c>
      <c r="Y156" s="2">
        <v>-51890.48</v>
      </c>
      <c r="Z156" s="2">
        <v>51890.48</v>
      </c>
      <c r="AA156" s="2">
        <v>-61899.61</v>
      </c>
      <c r="AB156" s="2">
        <v>61899.61</v>
      </c>
      <c r="AC156" s="2">
        <v>-109962.04</v>
      </c>
      <c r="AD156" s="365">
        <v>109962.04</v>
      </c>
      <c r="AE156" s="365">
        <v>-89737.55</v>
      </c>
      <c r="AF156" s="365">
        <v>89737.55</v>
      </c>
      <c r="AG156" s="2">
        <v>-60946.25</v>
      </c>
      <c r="AH156" s="2">
        <v>60946.25</v>
      </c>
      <c r="AI156" s="2">
        <v>-45970.15</v>
      </c>
      <c r="AJ156" s="2">
        <v>45970.15</v>
      </c>
      <c r="AK156" s="2">
        <v>-43608.01</v>
      </c>
      <c r="AL156" s="2">
        <v>43608.01</v>
      </c>
      <c r="AM156" s="2">
        <v>-51356.9</v>
      </c>
      <c r="AN156" s="2">
        <v>51356.9</v>
      </c>
      <c r="AO156" s="2">
        <v>-71624.58</v>
      </c>
      <c r="AP156" s="2">
        <v>71624.58</v>
      </c>
      <c r="AQ156" s="2">
        <v>-59239.49</v>
      </c>
      <c r="AR156" s="2">
        <v>59239.49</v>
      </c>
      <c r="AS156" s="2">
        <v>-58109.19</v>
      </c>
      <c r="AT156" s="2">
        <v>58109.19</v>
      </c>
      <c r="AU156" s="2">
        <v>-46804.4</v>
      </c>
      <c r="AV156" s="2">
        <v>-46546.64</v>
      </c>
      <c r="AW156" s="1">
        <v>152</v>
      </c>
    </row>
    <row r="157" spans="1:49" ht="12.75">
      <c r="A157" s="5">
        <v>2708</v>
      </c>
      <c r="B157" s="2" t="s">
        <v>1102</v>
      </c>
      <c r="C157" s="305">
        <v>0</v>
      </c>
      <c r="D157" s="305">
        <v>0</v>
      </c>
      <c r="E157" s="305">
        <v>0</v>
      </c>
      <c r="F157" s="305">
        <v>-3900.75</v>
      </c>
      <c r="G157" s="305">
        <v>0</v>
      </c>
      <c r="H157" s="305">
        <v>-3900.75</v>
      </c>
      <c r="I157" s="305">
        <v>-3900.75</v>
      </c>
      <c r="K157" s="3" t="s">
        <v>23</v>
      </c>
      <c r="L157" s="365"/>
      <c r="M157" s="2">
        <v>-3900.75</v>
      </c>
      <c r="N157" s="311">
        <v>270</v>
      </c>
      <c r="O157" s="310" t="s">
        <v>68</v>
      </c>
      <c r="V157" s="1">
        <v>0</v>
      </c>
      <c r="W157" s="1" t="s">
        <v>365</v>
      </c>
      <c r="X157" s="1" t="s">
        <v>366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365">
        <v>0</v>
      </c>
      <c r="AE157" s="365">
        <v>0</v>
      </c>
      <c r="AF157" s="365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1">
        <v>153</v>
      </c>
    </row>
    <row r="158" spans="1:49" ht="12.75">
      <c r="A158" s="5">
        <v>2708</v>
      </c>
      <c r="B158" s="2" t="s">
        <v>1102</v>
      </c>
      <c r="C158" s="305">
        <v>0</v>
      </c>
      <c r="D158" s="305">
        <v>0</v>
      </c>
      <c r="E158" s="305">
        <v>0</v>
      </c>
      <c r="F158" s="305">
        <v>3900.75</v>
      </c>
      <c r="G158" s="305">
        <v>0</v>
      </c>
      <c r="H158" s="305">
        <v>3900.75</v>
      </c>
      <c r="I158" s="305">
        <v>3900.75</v>
      </c>
      <c r="K158" s="3" t="s">
        <v>982</v>
      </c>
      <c r="L158" s="365"/>
      <c r="M158" s="2">
        <v>3900.75</v>
      </c>
      <c r="N158" s="311">
        <v>270</v>
      </c>
      <c r="O158" s="310" t="s">
        <v>68</v>
      </c>
      <c r="V158" s="1">
        <v>0</v>
      </c>
      <c r="W158" s="1" t="s">
        <v>365</v>
      </c>
      <c r="X158" s="1" t="s">
        <v>1101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365">
        <v>0</v>
      </c>
      <c r="AE158" s="365">
        <v>0</v>
      </c>
      <c r="AF158" s="365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1">
        <v>154</v>
      </c>
    </row>
    <row r="159" spans="1:49" ht="12.75">
      <c r="A159" s="5">
        <v>2710</v>
      </c>
      <c r="B159" s="2" t="s">
        <v>94</v>
      </c>
      <c r="C159" s="305">
        <v>464020.46</v>
      </c>
      <c r="D159" s="305">
        <v>0</v>
      </c>
      <c r="E159" s="305">
        <v>-463661.36</v>
      </c>
      <c r="F159" s="305">
        <v>998075.4</v>
      </c>
      <c r="G159" s="305">
        <v>0</v>
      </c>
      <c r="H159" s="305">
        <v>0</v>
      </c>
      <c r="I159" s="305">
        <v>0</v>
      </c>
      <c r="K159" s="3" t="s">
        <v>982</v>
      </c>
      <c r="L159" s="365"/>
      <c r="M159" s="2">
        <v>998075.4</v>
      </c>
      <c r="N159" s="311">
        <v>270</v>
      </c>
      <c r="O159" s="310" t="s">
        <v>68</v>
      </c>
      <c r="V159" s="1">
        <v>0</v>
      </c>
      <c r="W159" s="1" t="s">
        <v>365</v>
      </c>
      <c r="X159" s="1" t="s">
        <v>1101</v>
      </c>
      <c r="Y159" s="2">
        <v>414148.51</v>
      </c>
      <c r="Z159" s="2">
        <v>-414148.51</v>
      </c>
      <c r="AA159" s="2">
        <v>523381.17</v>
      </c>
      <c r="AB159" s="2">
        <v>-523381.17</v>
      </c>
      <c r="AC159" s="2">
        <v>643166.67</v>
      </c>
      <c r="AD159" s="365">
        <v>-643166.67</v>
      </c>
      <c r="AE159" s="365">
        <v>816803.17</v>
      </c>
      <c r="AF159" s="365">
        <v>-816803.17</v>
      </c>
      <c r="AG159" s="2">
        <v>520622.03</v>
      </c>
      <c r="AH159" s="2">
        <v>-520622.03</v>
      </c>
      <c r="AI159" s="2">
        <v>463661.36</v>
      </c>
      <c r="AJ159" s="2">
        <v>-463661.36</v>
      </c>
      <c r="AK159" s="2">
        <v>338821.42</v>
      </c>
      <c r="AL159" s="2">
        <v>-338821.42</v>
      </c>
      <c r="AM159" s="2">
        <v>873647.23</v>
      </c>
      <c r="AN159" s="2">
        <v>-873647.23</v>
      </c>
      <c r="AO159" s="2">
        <v>552198.07</v>
      </c>
      <c r="AP159" s="2">
        <v>-552198.07</v>
      </c>
      <c r="AQ159" s="2">
        <v>778805.35</v>
      </c>
      <c r="AR159" s="2">
        <v>-778805.35</v>
      </c>
      <c r="AS159" s="2">
        <v>613164.98</v>
      </c>
      <c r="AT159" s="2">
        <v>-613164.98</v>
      </c>
      <c r="AU159" s="2">
        <v>534054.94</v>
      </c>
      <c r="AV159" s="2">
        <v>464020.46</v>
      </c>
      <c r="AW159" s="1">
        <v>155</v>
      </c>
    </row>
    <row r="160" spans="1:49" ht="12.75">
      <c r="A160" s="5">
        <v>2711</v>
      </c>
      <c r="B160" s="2" t="s">
        <v>106</v>
      </c>
      <c r="C160" s="305">
        <v>21822.52</v>
      </c>
      <c r="D160" s="305">
        <v>0</v>
      </c>
      <c r="E160" s="305">
        <v>-21550.57</v>
      </c>
      <c r="F160" s="305">
        <v>50729.94</v>
      </c>
      <c r="G160" s="305">
        <v>0</v>
      </c>
      <c r="H160" s="305">
        <v>0</v>
      </c>
      <c r="I160" s="305">
        <v>0</v>
      </c>
      <c r="K160" s="3" t="s">
        <v>982</v>
      </c>
      <c r="L160" s="365"/>
      <c r="M160" s="2">
        <v>50729.94</v>
      </c>
      <c r="N160" s="311">
        <v>270</v>
      </c>
      <c r="O160" s="310" t="s">
        <v>68</v>
      </c>
      <c r="V160" s="1">
        <v>0</v>
      </c>
      <c r="W160" s="1" t="s">
        <v>365</v>
      </c>
      <c r="X160" s="1" t="s">
        <v>1101</v>
      </c>
      <c r="Y160" s="2">
        <v>22441.24</v>
      </c>
      <c r="Z160" s="2">
        <v>-22441.24</v>
      </c>
      <c r="AA160" s="2">
        <v>50089.1</v>
      </c>
      <c r="AB160" s="2">
        <v>-50089.1</v>
      </c>
      <c r="AC160" s="2">
        <v>49195.07</v>
      </c>
      <c r="AD160" s="365">
        <v>-49195.07</v>
      </c>
      <c r="AE160" s="365">
        <v>43708.2</v>
      </c>
      <c r="AF160" s="365">
        <v>-43708.2</v>
      </c>
      <c r="AG160" s="2">
        <v>32679.85</v>
      </c>
      <c r="AH160" s="2">
        <v>-32679.85</v>
      </c>
      <c r="AI160" s="2">
        <v>21550.57</v>
      </c>
      <c r="AJ160" s="2">
        <v>-21550.57</v>
      </c>
      <c r="AK160" s="2">
        <v>13906.64</v>
      </c>
      <c r="AL160" s="2">
        <v>-13906.64</v>
      </c>
      <c r="AM160" s="2">
        <v>23876.9</v>
      </c>
      <c r="AN160" s="2">
        <v>-23876.9</v>
      </c>
      <c r="AO160" s="2">
        <v>34735.42</v>
      </c>
      <c r="AP160" s="2">
        <v>-34735.42</v>
      </c>
      <c r="AQ160" s="2">
        <v>27133.03</v>
      </c>
      <c r="AR160" s="2">
        <v>-27133.03</v>
      </c>
      <c r="AS160" s="2">
        <v>30799.45</v>
      </c>
      <c r="AT160" s="2">
        <v>-30799.45</v>
      </c>
      <c r="AU160" s="2">
        <v>28907.42</v>
      </c>
      <c r="AV160" s="2">
        <v>21822.52</v>
      </c>
      <c r="AW160" s="1">
        <v>156</v>
      </c>
    </row>
    <row r="161" spans="1:49" ht="12.75">
      <c r="A161" s="5">
        <v>2717</v>
      </c>
      <c r="B161" s="2" t="s">
        <v>410</v>
      </c>
      <c r="C161" s="305">
        <v>0</v>
      </c>
      <c r="D161" s="305">
        <v>0</v>
      </c>
      <c r="E161" s="305">
        <v>0</v>
      </c>
      <c r="F161" s="305">
        <v>3900.75</v>
      </c>
      <c r="G161" s="305">
        <v>0</v>
      </c>
      <c r="H161" s="305">
        <v>3900.75</v>
      </c>
      <c r="I161" s="305">
        <v>3900.75</v>
      </c>
      <c r="K161" s="3" t="s">
        <v>23</v>
      </c>
      <c r="L161" s="365"/>
      <c r="M161" s="2">
        <v>3900.75</v>
      </c>
      <c r="N161" s="311">
        <v>270</v>
      </c>
      <c r="O161" s="310" t="s">
        <v>68</v>
      </c>
      <c r="V161" s="1">
        <v>0</v>
      </c>
      <c r="W161" s="1" t="s">
        <v>365</v>
      </c>
      <c r="X161" s="1" t="s">
        <v>366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365">
        <v>0</v>
      </c>
      <c r="AE161" s="365">
        <v>0</v>
      </c>
      <c r="AF161" s="365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1">
        <v>157</v>
      </c>
    </row>
    <row r="162" spans="1:49" ht="12.75">
      <c r="A162" s="5">
        <v>2717</v>
      </c>
      <c r="B162" s="2" t="s">
        <v>410</v>
      </c>
      <c r="C162" s="305">
        <v>0</v>
      </c>
      <c r="D162" s="305">
        <v>0</v>
      </c>
      <c r="E162" s="305">
        <v>0</v>
      </c>
      <c r="F162" s="305">
        <v>-3900.75</v>
      </c>
      <c r="G162" s="305">
        <v>0</v>
      </c>
      <c r="H162" s="305">
        <v>-3900.75</v>
      </c>
      <c r="I162" s="305">
        <v>-3900.75</v>
      </c>
      <c r="K162" s="3" t="s">
        <v>982</v>
      </c>
      <c r="L162" s="365"/>
      <c r="M162" s="2">
        <v>-3900.75</v>
      </c>
      <c r="N162" s="311">
        <v>270</v>
      </c>
      <c r="O162" s="310" t="s">
        <v>68</v>
      </c>
      <c r="V162" s="1">
        <v>0</v>
      </c>
      <c r="W162" s="1" t="s">
        <v>365</v>
      </c>
      <c r="X162" s="1" t="s">
        <v>1101</v>
      </c>
      <c r="Y162" s="2">
        <v>0</v>
      </c>
      <c r="Z162" s="2">
        <v>0</v>
      </c>
      <c r="AA162" s="2">
        <v>150</v>
      </c>
      <c r="AB162" s="2">
        <v>-150</v>
      </c>
      <c r="AC162" s="2">
        <v>0</v>
      </c>
      <c r="AD162" s="365">
        <v>0</v>
      </c>
      <c r="AE162" s="365">
        <v>0</v>
      </c>
      <c r="AF162" s="365">
        <v>0</v>
      </c>
      <c r="AG162" s="2">
        <v>452.5</v>
      </c>
      <c r="AH162" s="2">
        <v>-452.5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0</v>
      </c>
      <c r="AW162" s="1">
        <v>158</v>
      </c>
    </row>
    <row r="163" spans="1:49" ht="12.75">
      <c r="A163" s="5">
        <v>2740</v>
      </c>
      <c r="B163" s="2" t="s">
        <v>95</v>
      </c>
      <c r="C163" s="305">
        <v>0</v>
      </c>
      <c r="D163" s="305">
        <v>0</v>
      </c>
      <c r="E163" s="305">
        <v>43844</v>
      </c>
      <c r="F163" s="305">
        <v>6447.42</v>
      </c>
      <c r="G163" s="305">
        <v>0</v>
      </c>
      <c r="H163" s="305">
        <v>-104556</v>
      </c>
      <c r="I163" s="305">
        <v>-104556</v>
      </c>
      <c r="K163" s="3" t="s">
        <v>23</v>
      </c>
      <c r="L163" s="365"/>
      <c r="M163" s="2">
        <v>6447.42</v>
      </c>
      <c r="N163" s="311">
        <v>270</v>
      </c>
      <c r="O163" s="310" t="s">
        <v>68</v>
      </c>
      <c r="V163" s="1">
        <v>0</v>
      </c>
      <c r="W163" s="1" t="s">
        <v>365</v>
      </c>
      <c r="X163" s="1" t="s">
        <v>366</v>
      </c>
      <c r="Y163" s="2">
        <v>0</v>
      </c>
      <c r="Z163" s="2">
        <v>24785</v>
      </c>
      <c r="AA163" s="2">
        <v>0</v>
      </c>
      <c r="AB163" s="2">
        <v>-74010</v>
      </c>
      <c r="AC163" s="2">
        <v>0</v>
      </c>
      <c r="AD163" s="365">
        <v>19980.9</v>
      </c>
      <c r="AE163" s="365">
        <v>0</v>
      </c>
      <c r="AF163" s="365">
        <v>31211</v>
      </c>
      <c r="AG163" s="2">
        <v>0</v>
      </c>
      <c r="AH163" s="2">
        <v>38585</v>
      </c>
      <c r="AI163" s="2">
        <v>0</v>
      </c>
      <c r="AJ163" s="2">
        <v>43844</v>
      </c>
      <c r="AK163" s="2">
        <v>0</v>
      </c>
      <c r="AL163" s="2">
        <v>-43228</v>
      </c>
      <c r="AM163" s="2">
        <v>0</v>
      </c>
      <c r="AN163" s="2">
        <v>154231.42</v>
      </c>
      <c r="AO163" s="2">
        <v>0</v>
      </c>
      <c r="AP163" s="2">
        <v>-165949</v>
      </c>
      <c r="AQ163" s="2">
        <v>0</v>
      </c>
      <c r="AR163" s="2">
        <v>165949</v>
      </c>
      <c r="AS163" s="2">
        <v>0</v>
      </c>
      <c r="AT163" s="2">
        <v>0</v>
      </c>
      <c r="AU163" s="2">
        <v>0</v>
      </c>
      <c r="AV163" s="2">
        <v>0</v>
      </c>
      <c r="AW163" s="1">
        <v>159</v>
      </c>
    </row>
    <row r="164" spans="1:49" ht="12.75">
      <c r="A164" s="5">
        <v>2740</v>
      </c>
      <c r="B164" s="2" t="s">
        <v>95</v>
      </c>
      <c r="C164" s="305">
        <v>81397</v>
      </c>
      <c r="D164" s="305">
        <v>0</v>
      </c>
      <c r="E164" s="305">
        <v>5198</v>
      </c>
      <c r="F164" s="305">
        <v>-6132.26</v>
      </c>
      <c r="G164" s="305">
        <v>0</v>
      </c>
      <c r="H164" s="305">
        <v>-932.26</v>
      </c>
      <c r="I164" s="305">
        <v>-932.26</v>
      </c>
      <c r="K164" s="3" t="s">
        <v>982</v>
      </c>
      <c r="L164" s="365"/>
      <c r="M164" s="2">
        <v>-6132.26</v>
      </c>
      <c r="N164" s="311">
        <v>270</v>
      </c>
      <c r="O164" s="310" t="s">
        <v>68</v>
      </c>
      <c r="V164" s="1">
        <v>0</v>
      </c>
      <c r="W164" s="1" t="s">
        <v>365</v>
      </c>
      <c r="X164" s="1" t="s">
        <v>1101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365">
        <v>0</v>
      </c>
      <c r="AE164" s="365">
        <v>0</v>
      </c>
      <c r="AF164" s="365">
        <v>0</v>
      </c>
      <c r="AG164" s="2">
        <v>0</v>
      </c>
      <c r="AH164" s="2">
        <v>0</v>
      </c>
      <c r="AI164" s="2">
        <v>0</v>
      </c>
      <c r="AJ164" s="2">
        <v>5198</v>
      </c>
      <c r="AK164" s="2">
        <v>0</v>
      </c>
      <c r="AL164" s="2">
        <v>0</v>
      </c>
      <c r="AM164" s="2">
        <v>0</v>
      </c>
      <c r="AN164" s="2">
        <v>-5200</v>
      </c>
      <c r="AO164" s="2">
        <v>0</v>
      </c>
      <c r="AP164" s="2">
        <v>0</v>
      </c>
      <c r="AQ164" s="2">
        <v>0</v>
      </c>
      <c r="AR164" s="2">
        <v>-156708</v>
      </c>
      <c r="AS164" s="2">
        <v>0</v>
      </c>
      <c r="AT164" s="2">
        <v>75311</v>
      </c>
      <c r="AU164" s="2">
        <v>0</v>
      </c>
      <c r="AV164" s="2">
        <v>81397</v>
      </c>
      <c r="AW164" s="1">
        <v>160</v>
      </c>
    </row>
    <row r="165" spans="1:49" ht="12.75">
      <c r="A165" s="5">
        <v>2770</v>
      </c>
      <c r="B165" s="2" t="s">
        <v>161</v>
      </c>
      <c r="C165" s="305">
        <v>-32832.56</v>
      </c>
      <c r="D165" s="305">
        <v>0</v>
      </c>
      <c r="E165" s="305">
        <v>-30040.12</v>
      </c>
      <c r="F165" s="305">
        <v>-65845.97</v>
      </c>
      <c r="G165" s="305">
        <v>0</v>
      </c>
      <c r="H165" s="305">
        <v>-60452.41</v>
      </c>
      <c r="I165" s="305">
        <v>-60452.41</v>
      </c>
      <c r="K165" s="3" t="s">
        <v>982</v>
      </c>
      <c r="L165" s="365"/>
      <c r="M165" s="2">
        <v>-65845.97</v>
      </c>
      <c r="N165" s="311">
        <v>260</v>
      </c>
      <c r="O165" s="310" t="s">
        <v>66</v>
      </c>
      <c r="V165" s="1">
        <v>0</v>
      </c>
      <c r="W165" s="1" t="s">
        <v>365</v>
      </c>
      <c r="X165" s="1" t="s">
        <v>1100</v>
      </c>
      <c r="Y165" s="2">
        <v>23793.94</v>
      </c>
      <c r="Z165" s="2">
        <v>-30772.8</v>
      </c>
      <c r="AA165" s="2">
        <v>36225.01</v>
      </c>
      <c r="AB165" s="2">
        <v>-34977.41</v>
      </c>
      <c r="AC165" s="2">
        <v>-15903.41</v>
      </c>
      <c r="AD165" s="365">
        <v>-34692.97</v>
      </c>
      <c r="AE165" s="365">
        <v>82313.45</v>
      </c>
      <c r="AF165" s="365">
        <v>-32030.35</v>
      </c>
      <c r="AG165" s="2">
        <v>32301.17</v>
      </c>
      <c r="AH165" s="2">
        <v>-30036.88</v>
      </c>
      <c r="AI165" s="2">
        <v>31592.12</v>
      </c>
      <c r="AJ165" s="2">
        <v>-30040.12</v>
      </c>
      <c r="AK165" s="2">
        <v>32070.88</v>
      </c>
      <c r="AL165" s="2">
        <v>-29542.82</v>
      </c>
      <c r="AM165" s="2">
        <v>31488.21</v>
      </c>
      <c r="AN165" s="2">
        <v>-31575.64</v>
      </c>
      <c r="AO165" s="2">
        <v>-18907.85</v>
      </c>
      <c r="AP165" s="2">
        <v>-33148.29</v>
      </c>
      <c r="AQ165" s="2">
        <v>82122.81</v>
      </c>
      <c r="AR165" s="2">
        <v>-27251.68</v>
      </c>
      <c r="AS165" s="2">
        <v>26172.63</v>
      </c>
      <c r="AT165" s="2">
        <v>-28457.31</v>
      </c>
      <c r="AU165" s="2">
        <v>24468.06</v>
      </c>
      <c r="AV165" s="2">
        <v>-32832.56</v>
      </c>
      <c r="AW165" s="1">
        <v>161</v>
      </c>
    </row>
    <row r="166" spans="1:49" ht="12.75">
      <c r="A166" s="5">
        <v>2771</v>
      </c>
      <c r="B166" s="2" t="s">
        <v>411</v>
      </c>
      <c r="C166" s="305">
        <v>-3877.55</v>
      </c>
      <c r="D166" s="305">
        <v>0</v>
      </c>
      <c r="E166" s="305">
        <v>-3556.42</v>
      </c>
      <c r="F166" s="305">
        <v>-42303.36</v>
      </c>
      <c r="G166" s="305">
        <v>0</v>
      </c>
      <c r="H166" s="305">
        <v>-45844.4</v>
      </c>
      <c r="I166" s="305">
        <v>-45844.4</v>
      </c>
      <c r="K166" s="3" t="s">
        <v>982</v>
      </c>
      <c r="L166" s="365"/>
      <c r="M166" s="2">
        <v>-42303.36</v>
      </c>
      <c r="N166" s="311">
        <v>260</v>
      </c>
      <c r="O166" s="310" t="s">
        <v>66</v>
      </c>
      <c r="V166" s="1">
        <v>0</v>
      </c>
      <c r="W166" s="1" t="s">
        <v>365</v>
      </c>
      <c r="X166" s="1" t="s">
        <v>1100</v>
      </c>
      <c r="Y166" s="2">
        <v>-4014.51</v>
      </c>
      <c r="Z166" s="2">
        <v>-3692.71</v>
      </c>
      <c r="AA166" s="2">
        <v>-3426.51</v>
      </c>
      <c r="AB166" s="2">
        <v>-4146.39</v>
      </c>
      <c r="AC166" s="2">
        <v>38583.06</v>
      </c>
      <c r="AD166" s="365">
        <v>-4112.17</v>
      </c>
      <c r="AE166" s="365">
        <v>-3817.4</v>
      </c>
      <c r="AF166" s="365">
        <v>-3756.6</v>
      </c>
      <c r="AG166" s="2">
        <v>-3787.71</v>
      </c>
      <c r="AH166" s="2">
        <v>-3556.11</v>
      </c>
      <c r="AI166" s="2">
        <v>-3600.9</v>
      </c>
      <c r="AJ166" s="2">
        <v>-3556.42</v>
      </c>
      <c r="AK166" s="2">
        <v>-3405.61</v>
      </c>
      <c r="AL166" s="2">
        <v>-3362.05</v>
      </c>
      <c r="AM166" s="2">
        <v>-3123.69</v>
      </c>
      <c r="AN166" s="2">
        <v>-3740.69</v>
      </c>
      <c r="AO166" s="2">
        <v>42163.99</v>
      </c>
      <c r="AP166" s="2">
        <v>-3929.4</v>
      </c>
      <c r="AQ166" s="2">
        <v>-3304.85</v>
      </c>
      <c r="AR166" s="2">
        <v>-3207.75</v>
      </c>
      <c r="AS166" s="2">
        <v>-3420.24</v>
      </c>
      <c r="AT166" s="2">
        <v>-3352.37</v>
      </c>
      <c r="AU166" s="2">
        <v>-3898.75</v>
      </c>
      <c r="AV166" s="2">
        <v>-3877.55</v>
      </c>
      <c r="AW166" s="1">
        <v>162</v>
      </c>
    </row>
    <row r="167" spans="1:49" ht="12.75">
      <c r="A167" s="5">
        <v>2800</v>
      </c>
      <c r="B167" s="2" t="s">
        <v>439</v>
      </c>
      <c r="C167" s="305">
        <v>0</v>
      </c>
      <c r="D167" s="305">
        <v>0</v>
      </c>
      <c r="E167" s="305">
        <v>2500000</v>
      </c>
      <c r="F167" s="305">
        <v>0</v>
      </c>
      <c r="G167" s="305">
        <v>0</v>
      </c>
      <c r="H167" s="305">
        <v>0</v>
      </c>
      <c r="I167" s="305">
        <v>0</v>
      </c>
      <c r="K167" s="3" t="s">
        <v>982</v>
      </c>
      <c r="L167" s="365"/>
      <c r="M167" s="2">
        <v>0</v>
      </c>
      <c r="N167" s="311">
        <v>299</v>
      </c>
      <c r="O167" s="310" t="s">
        <v>78</v>
      </c>
      <c r="V167" s="1">
        <v>0</v>
      </c>
      <c r="W167" s="1" t="s">
        <v>1103</v>
      </c>
      <c r="X167" s="1" t="s">
        <v>1104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365">
        <v>0</v>
      </c>
      <c r="AE167" s="365">
        <v>0</v>
      </c>
      <c r="AF167" s="365">
        <v>0</v>
      </c>
      <c r="AG167" s="2">
        <v>0</v>
      </c>
      <c r="AH167" s="2">
        <v>0</v>
      </c>
      <c r="AI167" s="2">
        <v>0</v>
      </c>
      <c r="AJ167" s="2">
        <v>2500000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1">
        <v>163</v>
      </c>
    </row>
    <row r="168" spans="1:49" ht="12.75">
      <c r="A168" s="5">
        <v>2900</v>
      </c>
      <c r="B168" s="2" t="s">
        <v>1105</v>
      </c>
      <c r="C168" s="305">
        <v>0.03</v>
      </c>
      <c r="D168" s="305">
        <v>0</v>
      </c>
      <c r="E168" s="305">
        <v>-54335.12</v>
      </c>
      <c r="F168" s="305">
        <v>0</v>
      </c>
      <c r="G168" s="305">
        <v>0</v>
      </c>
      <c r="H168" s="305">
        <v>0</v>
      </c>
      <c r="I168" s="305">
        <v>0</v>
      </c>
      <c r="K168" s="3" t="s">
        <v>982</v>
      </c>
      <c r="L168" s="365"/>
      <c r="M168" s="2">
        <v>0</v>
      </c>
      <c r="N168" s="311">
        <v>299</v>
      </c>
      <c r="O168" s="310" t="s">
        <v>78</v>
      </c>
      <c r="V168" s="1">
        <v>0</v>
      </c>
      <c r="W168" s="1" t="s">
        <v>367</v>
      </c>
      <c r="X168" s="1" t="s">
        <v>1104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365">
        <v>0</v>
      </c>
      <c r="AE168" s="365">
        <v>0</v>
      </c>
      <c r="AF168" s="365">
        <v>45801.74</v>
      </c>
      <c r="AG168" s="2">
        <v>66473.64</v>
      </c>
      <c r="AH168" s="2">
        <v>58088.77</v>
      </c>
      <c r="AI168" s="2">
        <v>-116029.03</v>
      </c>
      <c r="AJ168" s="2">
        <v>-54335.12</v>
      </c>
      <c r="AK168" s="2">
        <v>-8824.08</v>
      </c>
      <c r="AL168" s="2">
        <v>2202.83</v>
      </c>
      <c r="AM168" s="2">
        <v>29637.01</v>
      </c>
      <c r="AN168" s="2">
        <v>0</v>
      </c>
      <c r="AO168" s="2">
        <v>-23015.77</v>
      </c>
      <c r="AP168" s="2">
        <v>0.01</v>
      </c>
      <c r="AQ168" s="2">
        <v>-0.03</v>
      </c>
      <c r="AR168" s="2">
        <v>-0.04</v>
      </c>
      <c r="AS168" s="2">
        <v>0</v>
      </c>
      <c r="AT168" s="2">
        <v>0.07</v>
      </c>
      <c r="AU168" s="2">
        <v>-0.03</v>
      </c>
      <c r="AV168" s="2">
        <v>0.03</v>
      </c>
      <c r="AW168" s="1">
        <v>164</v>
      </c>
    </row>
    <row r="169" spans="1:49" ht="12.75">
      <c r="A169" s="5">
        <v>2910</v>
      </c>
      <c r="B169" s="2" t="s">
        <v>1106</v>
      </c>
      <c r="C169" s="305">
        <v>0</v>
      </c>
      <c r="D169" s="305">
        <v>0</v>
      </c>
      <c r="E169" s="305">
        <v>-1487000</v>
      </c>
      <c r="F169" s="305">
        <v>-1513000</v>
      </c>
      <c r="G169" s="305">
        <v>0</v>
      </c>
      <c r="H169" s="305">
        <v>-1513000</v>
      </c>
      <c r="I169" s="305">
        <v>-1513000</v>
      </c>
      <c r="K169" s="3" t="s">
        <v>982</v>
      </c>
      <c r="L169" s="365"/>
      <c r="M169" s="2">
        <v>-1513000</v>
      </c>
      <c r="N169" s="311">
        <v>299</v>
      </c>
      <c r="O169" s="310" t="s">
        <v>78</v>
      </c>
      <c r="V169" s="1">
        <v>0</v>
      </c>
      <c r="W169" s="1" t="s">
        <v>373</v>
      </c>
      <c r="X169" s="1" t="s">
        <v>1104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365">
        <v>0</v>
      </c>
      <c r="AE169" s="365">
        <v>0</v>
      </c>
      <c r="AF169" s="365">
        <v>0</v>
      </c>
      <c r="AG169" s="2">
        <v>0</v>
      </c>
      <c r="AH169" s="2">
        <v>0</v>
      </c>
      <c r="AI169" s="2">
        <v>0</v>
      </c>
      <c r="AJ169" s="2">
        <v>-1487000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1">
        <v>165</v>
      </c>
    </row>
    <row r="170" spans="1:49" ht="12.75">
      <c r="A170" s="5">
        <v>2940</v>
      </c>
      <c r="B170" s="2" t="s">
        <v>107</v>
      </c>
      <c r="C170" s="305">
        <v>-27500.28</v>
      </c>
      <c r="D170" s="305">
        <v>0</v>
      </c>
      <c r="E170" s="305">
        <v>279457.57</v>
      </c>
      <c r="F170" s="305">
        <v>-625162.33</v>
      </c>
      <c r="G170" s="305">
        <v>0</v>
      </c>
      <c r="H170" s="305">
        <v>-325138</v>
      </c>
      <c r="I170" s="305">
        <v>-325138</v>
      </c>
      <c r="K170" s="3" t="s">
        <v>982</v>
      </c>
      <c r="L170" s="365"/>
      <c r="M170" s="2">
        <v>-625162.33</v>
      </c>
      <c r="N170" s="311">
        <v>294</v>
      </c>
      <c r="O170" s="310" t="s">
        <v>70</v>
      </c>
      <c r="V170" s="1">
        <v>0</v>
      </c>
      <c r="W170" s="1" t="s">
        <v>367</v>
      </c>
      <c r="X170" s="1" t="s">
        <v>1107</v>
      </c>
      <c r="Y170" s="2">
        <v>-28471.74</v>
      </c>
      <c r="Z170" s="2">
        <v>-26189.62</v>
      </c>
      <c r="AA170" s="2">
        <v>-24301.62</v>
      </c>
      <c r="AB170" s="2">
        <v>-29407.02</v>
      </c>
      <c r="AC170" s="2">
        <v>-31041.84</v>
      </c>
      <c r="AD170" s="365">
        <v>-29164.38</v>
      </c>
      <c r="AE170" s="365">
        <v>-27073.92</v>
      </c>
      <c r="AF170" s="365">
        <v>-26642.7</v>
      </c>
      <c r="AG170" s="2">
        <v>-26863.33</v>
      </c>
      <c r="AH170" s="2">
        <v>-25220.57</v>
      </c>
      <c r="AI170" s="2">
        <v>-25538.39</v>
      </c>
      <c r="AJ170" s="2">
        <v>279457.57</v>
      </c>
      <c r="AK170" s="2">
        <v>-24153.29</v>
      </c>
      <c r="AL170" s="2">
        <v>-23844.42</v>
      </c>
      <c r="AM170" s="2">
        <v>-22153.88</v>
      </c>
      <c r="AN170" s="2">
        <v>-26529.54</v>
      </c>
      <c r="AO170" s="2">
        <v>-26102.45</v>
      </c>
      <c r="AP170" s="2">
        <v>-27868.09</v>
      </c>
      <c r="AQ170" s="2">
        <v>-23438.82</v>
      </c>
      <c r="AR170" s="2">
        <v>-22750.11</v>
      </c>
      <c r="AS170" s="2">
        <v>-24257.09</v>
      </c>
      <c r="AT170" s="2">
        <v>-23775.73</v>
      </c>
      <c r="AU170" s="2">
        <v>-27650.63</v>
      </c>
      <c r="AV170" s="2">
        <v>-27500.28</v>
      </c>
      <c r="AW170" s="1">
        <v>166</v>
      </c>
    </row>
    <row r="171" spans="1:49" ht="12.75">
      <c r="A171" s="5">
        <v>2945</v>
      </c>
      <c r="B171" s="2" t="s">
        <v>412</v>
      </c>
      <c r="C171" s="305">
        <v>0</v>
      </c>
      <c r="D171" s="305">
        <v>0</v>
      </c>
      <c r="E171" s="305">
        <v>-304680.43</v>
      </c>
      <c r="F171" s="305">
        <v>325137.98</v>
      </c>
      <c r="G171" s="305">
        <v>0</v>
      </c>
      <c r="H171" s="305">
        <v>0</v>
      </c>
      <c r="I171" s="305">
        <v>0</v>
      </c>
      <c r="K171" s="3" t="s">
        <v>982</v>
      </c>
      <c r="L171" s="365"/>
      <c r="M171" s="2">
        <v>325137.98</v>
      </c>
      <c r="N171" s="311">
        <v>294</v>
      </c>
      <c r="O171" s="310" t="s">
        <v>70</v>
      </c>
      <c r="V171" s="1">
        <v>0</v>
      </c>
      <c r="W171" s="1" t="s">
        <v>367</v>
      </c>
      <c r="X171" s="1" t="s">
        <v>1107</v>
      </c>
      <c r="Y171" s="2">
        <v>0</v>
      </c>
      <c r="Z171" s="2">
        <v>0</v>
      </c>
      <c r="AA171" s="2">
        <v>0</v>
      </c>
      <c r="AB171" s="2">
        <v>0</v>
      </c>
      <c r="AC171" s="2">
        <v>304680.43</v>
      </c>
      <c r="AD171" s="365">
        <v>0</v>
      </c>
      <c r="AE171" s="365">
        <v>0</v>
      </c>
      <c r="AF171" s="365">
        <v>0</v>
      </c>
      <c r="AG171" s="2">
        <v>0</v>
      </c>
      <c r="AH171" s="2">
        <v>0</v>
      </c>
      <c r="AI171" s="2">
        <v>0</v>
      </c>
      <c r="AJ171" s="2">
        <v>-304680.43</v>
      </c>
      <c r="AK171" s="2">
        <v>0</v>
      </c>
      <c r="AL171" s="2">
        <v>0</v>
      </c>
      <c r="AM171" s="2">
        <v>0</v>
      </c>
      <c r="AN171" s="2">
        <v>0</v>
      </c>
      <c r="AO171" s="2">
        <v>325137.98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1">
        <v>167</v>
      </c>
    </row>
    <row r="172" spans="1:49" ht="12.75">
      <c r="A172" s="5">
        <v>2953</v>
      </c>
      <c r="B172" s="2" t="s">
        <v>1108</v>
      </c>
      <c r="C172" s="305">
        <v>0</v>
      </c>
      <c r="D172" s="305">
        <v>0</v>
      </c>
      <c r="E172" s="305">
        <v>0</v>
      </c>
      <c r="F172" s="305">
        <v>-19000</v>
      </c>
      <c r="G172" s="305">
        <v>0</v>
      </c>
      <c r="H172" s="305">
        <v>-19000</v>
      </c>
      <c r="I172" s="305">
        <v>-19000</v>
      </c>
      <c r="K172" s="3" t="s">
        <v>982</v>
      </c>
      <c r="L172" s="365"/>
      <c r="M172" s="2">
        <v>-19000</v>
      </c>
      <c r="N172" s="311">
        <v>298</v>
      </c>
      <c r="O172" s="310" t="s">
        <v>75</v>
      </c>
      <c r="V172" s="1">
        <v>0</v>
      </c>
      <c r="W172" s="1" t="s">
        <v>367</v>
      </c>
      <c r="X172" s="1" t="s">
        <v>1109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365">
        <v>0</v>
      </c>
      <c r="AE172" s="365">
        <v>0</v>
      </c>
      <c r="AF172" s="365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1">
        <v>168</v>
      </c>
    </row>
    <row r="173" spans="1:49" ht="12.75">
      <c r="A173" s="5">
        <v>2998</v>
      </c>
      <c r="B173" s="2" t="s">
        <v>825</v>
      </c>
      <c r="C173" s="305">
        <v>0</v>
      </c>
      <c r="D173" s="305">
        <v>0</v>
      </c>
      <c r="E173" s="305">
        <v>26.12</v>
      </c>
      <c r="F173" s="305">
        <v>0</v>
      </c>
      <c r="G173" s="305">
        <v>0</v>
      </c>
      <c r="H173" s="305">
        <v>0</v>
      </c>
      <c r="I173" s="305">
        <v>0</v>
      </c>
      <c r="K173" s="3" t="s">
        <v>982</v>
      </c>
      <c r="L173" s="365"/>
      <c r="M173" s="2">
        <v>0</v>
      </c>
      <c r="N173" s="311">
        <v>299</v>
      </c>
      <c r="O173" s="310" t="s">
        <v>78</v>
      </c>
      <c r="V173" s="1">
        <v>0</v>
      </c>
      <c r="W173" s="1" t="s">
        <v>367</v>
      </c>
      <c r="X173" s="1" t="s">
        <v>1104</v>
      </c>
      <c r="Y173" s="2">
        <v>-1.17</v>
      </c>
      <c r="Z173" s="2">
        <v>-1.74</v>
      </c>
      <c r="AA173" s="2">
        <v>-2.25</v>
      </c>
      <c r="AB173" s="2">
        <v>-1.96</v>
      </c>
      <c r="AC173" s="2">
        <v>-2.81</v>
      </c>
      <c r="AD173" s="365">
        <v>-4.96</v>
      </c>
      <c r="AE173" s="365">
        <v>-8.8</v>
      </c>
      <c r="AF173" s="365">
        <v>-2.43</v>
      </c>
      <c r="AG173" s="2">
        <v>0</v>
      </c>
      <c r="AH173" s="2">
        <v>0</v>
      </c>
      <c r="AI173" s="2">
        <v>0</v>
      </c>
      <c r="AJ173" s="2">
        <v>26.12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1">
        <v>169</v>
      </c>
    </row>
    <row r="174" spans="1:49" ht="12.75">
      <c r="A174" s="5">
        <v>3005</v>
      </c>
      <c r="B174" s="2" t="s">
        <v>256</v>
      </c>
      <c r="C174" s="305">
        <v>-13446.03</v>
      </c>
      <c r="D174" s="305">
        <v>0</v>
      </c>
      <c r="E174" s="305">
        <v>-23093.38</v>
      </c>
      <c r="F174" s="305">
        <v>-409148.79</v>
      </c>
      <c r="G174" s="305">
        <v>0</v>
      </c>
      <c r="H174" s="305">
        <v>-385328.44</v>
      </c>
      <c r="I174" s="305">
        <v>0</v>
      </c>
      <c r="J174" s="1" t="s">
        <v>597</v>
      </c>
      <c r="K174" s="3" t="s">
        <v>982</v>
      </c>
      <c r="L174" s="365"/>
      <c r="M174" s="2">
        <v>-409148.79</v>
      </c>
      <c r="N174" s="311">
        <v>310</v>
      </c>
      <c r="O174" s="310" t="s">
        <v>1110</v>
      </c>
      <c r="P174" s="309">
        <v>10</v>
      </c>
      <c r="Q174" s="60" t="s">
        <v>454</v>
      </c>
      <c r="R174" s="309">
        <v>1001</v>
      </c>
      <c r="S174" s="60" t="s">
        <v>455</v>
      </c>
      <c r="T174" s="61">
        <v>110</v>
      </c>
      <c r="U174" s="60" t="s">
        <v>495</v>
      </c>
      <c r="V174" s="1">
        <v>3</v>
      </c>
      <c r="W174" s="1" t="s">
        <v>20</v>
      </c>
      <c r="X174" s="1" t="s">
        <v>1111</v>
      </c>
      <c r="Y174" s="2">
        <v>-18709.6</v>
      </c>
      <c r="Z174" s="2">
        <v>-20571.26</v>
      </c>
      <c r="AA174" s="2">
        <v>-24449.89</v>
      </c>
      <c r="AB174" s="2">
        <v>-34270.08</v>
      </c>
      <c r="AC174" s="2">
        <v>-46647.53</v>
      </c>
      <c r="AD174" s="365">
        <v>-41854.28</v>
      </c>
      <c r="AE174" s="365">
        <v>-43746.99</v>
      </c>
      <c r="AF174" s="365">
        <v>-40817.38</v>
      </c>
      <c r="AG174" s="2">
        <v>-38811.66</v>
      </c>
      <c r="AH174" s="2">
        <v>-27834.69</v>
      </c>
      <c r="AI174" s="2">
        <v>-24521.7</v>
      </c>
      <c r="AJ174" s="2">
        <v>-23093.38</v>
      </c>
      <c r="AK174" s="2">
        <v>-22771.77</v>
      </c>
      <c r="AL174" s="2">
        <v>-15145.26</v>
      </c>
      <c r="AM174" s="2">
        <v>-35182.04</v>
      </c>
      <c r="AN174" s="2">
        <v>-49943.31</v>
      </c>
      <c r="AO174" s="2">
        <v>-48665</v>
      </c>
      <c r="AP174" s="2">
        <v>-64198.97</v>
      </c>
      <c r="AQ174" s="2">
        <v>-38030.24</v>
      </c>
      <c r="AR174" s="2">
        <v>-38525.62</v>
      </c>
      <c r="AS174" s="2">
        <v>-37651.92</v>
      </c>
      <c r="AT174" s="2">
        <v>-27585.97</v>
      </c>
      <c r="AU174" s="2">
        <v>-18002.66</v>
      </c>
      <c r="AV174" s="2">
        <v>-13446.03</v>
      </c>
      <c r="AW174" s="1">
        <v>170</v>
      </c>
    </row>
    <row r="175" spans="1:49" ht="12.75">
      <c r="A175" s="5">
        <v>3005</v>
      </c>
      <c r="B175" s="2" t="s">
        <v>257</v>
      </c>
      <c r="C175" s="305">
        <v>-601172.54</v>
      </c>
      <c r="D175" s="305">
        <v>0</v>
      </c>
      <c r="E175" s="305">
        <v>-578435.14</v>
      </c>
      <c r="F175" s="305">
        <v>-9352105.7</v>
      </c>
      <c r="G175" s="305">
        <v>0</v>
      </c>
      <c r="H175" s="305">
        <v>-8990333.9</v>
      </c>
      <c r="I175" s="305">
        <v>0</v>
      </c>
      <c r="J175" s="1" t="s">
        <v>596</v>
      </c>
      <c r="K175" s="3" t="s">
        <v>982</v>
      </c>
      <c r="L175" s="365"/>
      <c r="M175" s="2">
        <v>-9352105.7</v>
      </c>
      <c r="N175" s="311">
        <v>310</v>
      </c>
      <c r="O175" s="310" t="s">
        <v>1110</v>
      </c>
      <c r="P175" s="309">
        <v>10</v>
      </c>
      <c r="Q175" s="60" t="s">
        <v>454</v>
      </c>
      <c r="R175" s="309">
        <v>1001</v>
      </c>
      <c r="S175" s="60" t="s">
        <v>455</v>
      </c>
      <c r="T175" s="61">
        <v>110</v>
      </c>
      <c r="U175" s="60" t="s">
        <v>495</v>
      </c>
      <c r="V175" s="1">
        <v>3</v>
      </c>
      <c r="W175" s="1" t="s">
        <v>20</v>
      </c>
      <c r="X175" s="1" t="s">
        <v>1112</v>
      </c>
      <c r="Y175" s="2">
        <v>-515375.44</v>
      </c>
      <c r="Z175" s="2">
        <v>-507838.56</v>
      </c>
      <c r="AA175" s="2">
        <v>-594985.78</v>
      </c>
      <c r="AB175" s="2">
        <v>-610086.2</v>
      </c>
      <c r="AC175" s="2">
        <v>-919738.28</v>
      </c>
      <c r="AD175" s="365">
        <v>-886008.31</v>
      </c>
      <c r="AE175" s="365">
        <v>-1191486.81</v>
      </c>
      <c r="AF175" s="365">
        <v>-1066620.29</v>
      </c>
      <c r="AG175" s="2">
        <v>-702656.99</v>
      </c>
      <c r="AH175" s="2">
        <v>-749850.08</v>
      </c>
      <c r="AI175" s="2">
        <v>-667252.02</v>
      </c>
      <c r="AJ175" s="2">
        <v>-578435.14</v>
      </c>
      <c r="AK175" s="2">
        <v>-543196.89</v>
      </c>
      <c r="AL175" s="2">
        <v>-554492.59</v>
      </c>
      <c r="AM175" s="2">
        <v>-698528.6</v>
      </c>
      <c r="AN175" s="2">
        <v>-756029.21</v>
      </c>
      <c r="AO175" s="2">
        <v>-802730.28</v>
      </c>
      <c r="AP175" s="2">
        <v>-1113879.06</v>
      </c>
      <c r="AQ175" s="2">
        <v>-1069031.65</v>
      </c>
      <c r="AR175" s="2">
        <v>-981319.87</v>
      </c>
      <c r="AS175" s="2">
        <v>-805352.57</v>
      </c>
      <c r="AT175" s="2">
        <v>-739777.3</v>
      </c>
      <c r="AU175" s="2">
        <v>-686595.14</v>
      </c>
      <c r="AV175" s="2">
        <v>-601172.54</v>
      </c>
      <c r="AW175" s="1">
        <v>171</v>
      </c>
    </row>
    <row r="176" spans="1:49" ht="12.75">
      <c r="A176" s="5">
        <v>3005</v>
      </c>
      <c r="B176" s="2" t="s">
        <v>352</v>
      </c>
      <c r="C176" s="305">
        <v>-882184.75</v>
      </c>
      <c r="D176" s="305">
        <v>0</v>
      </c>
      <c r="E176" s="305">
        <v>-712891.57</v>
      </c>
      <c r="F176" s="305">
        <v>-10693462.31</v>
      </c>
      <c r="G176" s="305">
        <v>0</v>
      </c>
      <c r="H176" s="305">
        <v>-8944592.58</v>
      </c>
      <c r="I176" s="305">
        <v>0</v>
      </c>
      <c r="J176" s="1" t="s">
        <v>599</v>
      </c>
      <c r="K176" s="3" t="s">
        <v>982</v>
      </c>
      <c r="L176" s="365"/>
      <c r="M176" s="2">
        <v>-10693462.31</v>
      </c>
      <c r="N176" s="311">
        <v>310</v>
      </c>
      <c r="O176" s="310" t="s">
        <v>1110</v>
      </c>
      <c r="P176" s="309">
        <v>10</v>
      </c>
      <c r="Q176" s="60" t="s">
        <v>454</v>
      </c>
      <c r="R176" s="309">
        <v>1001</v>
      </c>
      <c r="S176" s="60" t="s">
        <v>455</v>
      </c>
      <c r="T176" s="61">
        <v>110</v>
      </c>
      <c r="U176" s="60" t="s">
        <v>495</v>
      </c>
      <c r="V176" s="1">
        <v>3</v>
      </c>
      <c r="W176" s="1" t="s">
        <v>20</v>
      </c>
      <c r="X176" s="1" t="s">
        <v>1113</v>
      </c>
      <c r="Y176" s="2">
        <v>-686173.39</v>
      </c>
      <c r="Z176" s="2">
        <v>-678592.79</v>
      </c>
      <c r="AA176" s="2">
        <v>-700453</v>
      </c>
      <c r="AB176" s="2">
        <v>-631418.21</v>
      </c>
      <c r="AC176" s="2">
        <v>-730184.68</v>
      </c>
      <c r="AD176" s="365">
        <v>-774865.5</v>
      </c>
      <c r="AE176" s="365">
        <v>-734181.05</v>
      </c>
      <c r="AF176" s="365">
        <v>-804047.78</v>
      </c>
      <c r="AG176" s="2">
        <v>-826477.29</v>
      </c>
      <c r="AH176" s="2">
        <v>-848064.31</v>
      </c>
      <c r="AI176" s="2">
        <v>-817243.01</v>
      </c>
      <c r="AJ176" s="2">
        <v>-712891.57</v>
      </c>
      <c r="AK176" s="2">
        <v>-662284.3</v>
      </c>
      <c r="AL176" s="2">
        <v>-729308.11</v>
      </c>
      <c r="AM176" s="2">
        <v>-837500.14</v>
      </c>
      <c r="AN176" s="2">
        <v>-882798.82</v>
      </c>
      <c r="AO176" s="2">
        <v>-953978.11</v>
      </c>
      <c r="AP176" s="2">
        <v>-1058988.09</v>
      </c>
      <c r="AQ176" s="2">
        <v>-975244.09</v>
      </c>
      <c r="AR176" s="2">
        <v>-896636.31</v>
      </c>
      <c r="AS176" s="2">
        <v>-874110.93</v>
      </c>
      <c r="AT176" s="2">
        <v>-915213.21</v>
      </c>
      <c r="AU176" s="2">
        <v>-1025215.45</v>
      </c>
      <c r="AV176" s="2">
        <v>-882184.75</v>
      </c>
      <c r="AW176" s="1">
        <v>172</v>
      </c>
    </row>
    <row r="177" spans="1:49" ht="12.75">
      <c r="A177" s="5">
        <v>3005</v>
      </c>
      <c r="B177" s="2" t="s">
        <v>353</v>
      </c>
      <c r="C177" s="305">
        <v>-43705.91</v>
      </c>
      <c r="D177" s="305">
        <v>0</v>
      </c>
      <c r="E177" s="305">
        <v>-29815.45</v>
      </c>
      <c r="F177" s="305">
        <v>-480973.19</v>
      </c>
      <c r="G177" s="305">
        <v>0</v>
      </c>
      <c r="H177" s="305">
        <v>-436483.15</v>
      </c>
      <c r="I177" s="305">
        <v>0</v>
      </c>
      <c r="J177" s="1" t="s">
        <v>598</v>
      </c>
      <c r="K177" s="3" t="s">
        <v>982</v>
      </c>
      <c r="L177" s="365"/>
      <c r="M177" s="2">
        <v>-480973.19</v>
      </c>
      <c r="N177" s="311">
        <v>310</v>
      </c>
      <c r="O177" s="310" t="s">
        <v>1110</v>
      </c>
      <c r="P177" s="309">
        <v>10</v>
      </c>
      <c r="Q177" s="60" t="s">
        <v>454</v>
      </c>
      <c r="R177" s="309">
        <v>1001</v>
      </c>
      <c r="S177" s="60" t="s">
        <v>455</v>
      </c>
      <c r="T177" s="61">
        <v>110</v>
      </c>
      <c r="U177" s="60" t="s">
        <v>495</v>
      </c>
      <c r="V177" s="1">
        <v>3</v>
      </c>
      <c r="W177" s="1" t="s">
        <v>20</v>
      </c>
      <c r="X177" s="1" t="s">
        <v>1114</v>
      </c>
      <c r="Y177" s="2">
        <v>-30220.88</v>
      </c>
      <c r="Z177" s="2">
        <v>-35453.16</v>
      </c>
      <c r="AA177" s="2">
        <v>-28782.18</v>
      </c>
      <c r="AB177" s="2">
        <v>-32156.42</v>
      </c>
      <c r="AC177" s="2">
        <v>-40593.86</v>
      </c>
      <c r="AD177" s="365">
        <v>-38085.56</v>
      </c>
      <c r="AE177" s="365">
        <v>-52047.67</v>
      </c>
      <c r="AF177" s="365">
        <v>-31996.38</v>
      </c>
      <c r="AG177" s="2">
        <v>-38116.75</v>
      </c>
      <c r="AH177" s="2">
        <v>-39762.35</v>
      </c>
      <c r="AI177" s="2">
        <v>-39452.49</v>
      </c>
      <c r="AJ177" s="2">
        <v>-29815.45</v>
      </c>
      <c r="AK177" s="2">
        <v>-35366.19</v>
      </c>
      <c r="AL177" s="2">
        <v>-31639.94</v>
      </c>
      <c r="AM177" s="2">
        <v>-49579.29</v>
      </c>
      <c r="AN177" s="2">
        <v>-41991.48</v>
      </c>
      <c r="AO177" s="2">
        <v>-45622.54</v>
      </c>
      <c r="AP177" s="2">
        <v>-46525.39</v>
      </c>
      <c r="AQ177" s="2">
        <v>-33795.99</v>
      </c>
      <c r="AR177" s="2">
        <v>-36994.05</v>
      </c>
      <c r="AS177" s="2">
        <v>-34185.61</v>
      </c>
      <c r="AT177" s="2">
        <v>-38829.85</v>
      </c>
      <c r="AU177" s="2">
        <v>-42736.95</v>
      </c>
      <c r="AV177" s="2">
        <v>-43705.91</v>
      </c>
      <c r="AW177" s="1">
        <v>173</v>
      </c>
    </row>
    <row r="178" spans="1:49" ht="12.75">
      <c r="A178" s="5">
        <v>3005</v>
      </c>
      <c r="B178" s="2" t="s">
        <v>258</v>
      </c>
      <c r="C178" s="305">
        <v>-146478.24</v>
      </c>
      <c r="D178" s="305">
        <v>0</v>
      </c>
      <c r="E178" s="305">
        <v>-113102.7</v>
      </c>
      <c r="F178" s="305">
        <v>-4113448.01</v>
      </c>
      <c r="G178" s="305">
        <v>0</v>
      </c>
      <c r="H178" s="305">
        <v>-3455362.98</v>
      </c>
      <c r="I178" s="305">
        <v>0</v>
      </c>
      <c r="J178" s="1" t="s">
        <v>600</v>
      </c>
      <c r="K178" s="3" t="s">
        <v>982</v>
      </c>
      <c r="L178" s="365"/>
      <c r="M178" s="2">
        <v>-4113448.01</v>
      </c>
      <c r="N178" s="311">
        <v>310</v>
      </c>
      <c r="O178" s="310" t="s">
        <v>1110</v>
      </c>
      <c r="P178" s="309">
        <v>10</v>
      </c>
      <c r="Q178" s="60" t="s">
        <v>454</v>
      </c>
      <c r="R178" s="309">
        <v>1001</v>
      </c>
      <c r="S178" s="60" t="s">
        <v>455</v>
      </c>
      <c r="T178" s="61">
        <v>110</v>
      </c>
      <c r="U178" s="60" t="s">
        <v>495</v>
      </c>
      <c r="V178" s="1">
        <v>3</v>
      </c>
      <c r="W178" s="1" t="s">
        <v>20</v>
      </c>
      <c r="X178" s="1" t="s">
        <v>1115</v>
      </c>
      <c r="Y178" s="2">
        <v>-134957.81</v>
      </c>
      <c r="Z178" s="2">
        <v>-110273.14</v>
      </c>
      <c r="AA178" s="2">
        <v>-259000.59</v>
      </c>
      <c r="AB178" s="2">
        <v>-227087.67</v>
      </c>
      <c r="AC178" s="2">
        <v>-334607.89</v>
      </c>
      <c r="AD178" s="365">
        <v>-474067.84</v>
      </c>
      <c r="AE178" s="365">
        <v>-878477.43</v>
      </c>
      <c r="AF178" s="365">
        <v>-412131.68</v>
      </c>
      <c r="AG178" s="2">
        <v>-195936.84</v>
      </c>
      <c r="AH178" s="2">
        <v>-156107.1</v>
      </c>
      <c r="AI178" s="2">
        <v>-159612.29</v>
      </c>
      <c r="AJ178" s="2">
        <v>-113102.7</v>
      </c>
      <c r="AK178" s="2">
        <v>-106430.49</v>
      </c>
      <c r="AL178" s="2">
        <v>-105111.11</v>
      </c>
      <c r="AM178" s="2">
        <v>-256472.46</v>
      </c>
      <c r="AN178" s="2">
        <v>-284196.06</v>
      </c>
      <c r="AO178" s="2">
        <v>-298218.4</v>
      </c>
      <c r="AP178" s="2">
        <v>-553272.73</v>
      </c>
      <c r="AQ178" s="2">
        <v>-1155862.42</v>
      </c>
      <c r="AR178" s="2">
        <v>-499225.98</v>
      </c>
      <c r="AS178" s="2">
        <v>-313651.01</v>
      </c>
      <c r="AT178" s="2">
        <v>-253086.32</v>
      </c>
      <c r="AU178" s="2">
        <v>-141442.79</v>
      </c>
      <c r="AV178" s="2">
        <v>-146478.24</v>
      </c>
      <c r="AW178" s="1">
        <v>174</v>
      </c>
    </row>
    <row r="179" spans="1:49" ht="12.75">
      <c r="A179" s="5">
        <v>3010</v>
      </c>
      <c r="B179" s="2" t="s">
        <v>259</v>
      </c>
      <c r="C179" s="305">
        <v>0</v>
      </c>
      <c r="D179" s="305">
        <v>0</v>
      </c>
      <c r="E179" s="305">
        <v>0</v>
      </c>
      <c r="F179" s="305">
        <v>0</v>
      </c>
      <c r="G179" s="305">
        <v>0</v>
      </c>
      <c r="H179" s="305">
        <v>-147203.2</v>
      </c>
      <c r="I179" s="305">
        <v>0</v>
      </c>
      <c r="J179" s="1" t="s">
        <v>826</v>
      </c>
      <c r="K179" s="3" t="s">
        <v>982</v>
      </c>
      <c r="L179" s="365"/>
      <c r="M179" s="2">
        <v>0</v>
      </c>
      <c r="N179" s="311">
        <v>310</v>
      </c>
      <c r="O179" s="310" t="s">
        <v>1110</v>
      </c>
      <c r="P179" s="309">
        <v>40</v>
      </c>
      <c r="Q179" s="60" t="s">
        <v>456</v>
      </c>
      <c r="R179" s="309">
        <v>5012</v>
      </c>
      <c r="S179" s="60" t="s">
        <v>212</v>
      </c>
      <c r="T179" s="61">
        <v>211</v>
      </c>
      <c r="U179" s="60" t="s">
        <v>506</v>
      </c>
      <c r="V179" s="1">
        <v>3</v>
      </c>
      <c r="W179" s="1" t="s">
        <v>20</v>
      </c>
      <c r="X179" s="1" t="s">
        <v>1116</v>
      </c>
      <c r="Y179" s="2">
        <v>-16020</v>
      </c>
      <c r="Z179" s="2">
        <v>-29407.2</v>
      </c>
      <c r="AA179" s="2">
        <v>-15384</v>
      </c>
      <c r="AB179" s="2">
        <v>-22216</v>
      </c>
      <c r="AC179" s="2">
        <v>-18620</v>
      </c>
      <c r="AD179" s="365">
        <v>-14336</v>
      </c>
      <c r="AE179" s="365">
        <v>-14260</v>
      </c>
      <c r="AF179" s="365">
        <v>-6640</v>
      </c>
      <c r="AG179" s="2">
        <v>-10320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1">
        <v>175</v>
      </c>
    </row>
    <row r="180" spans="1:49" ht="12.75">
      <c r="A180" s="5">
        <v>3010</v>
      </c>
      <c r="B180" s="2" t="s">
        <v>260</v>
      </c>
      <c r="C180" s="305">
        <v>0</v>
      </c>
      <c r="D180" s="305">
        <v>0</v>
      </c>
      <c r="E180" s="305">
        <v>0</v>
      </c>
      <c r="F180" s="305">
        <v>0</v>
      </c>
      <c r="G180" s="305">
        <v>0</v>
      </c>
      <c r="H180" s="305">
        <v>-1003059.83</v>
      </c>
      <c r="I180" s="305">
        <v>0</v>
      </c>
      <c r="J180" s="1" t="s">
        <v>673</v>
      </c>
      <c r="K180" s="3" t="s">
        <v>982</v>
      </c>
      <c r="L180" s="365"/>
      <c r="M180" s="2">
        <v>0</v>
      </c>
      <c r="N180" s="311">
        <v>310</v>
      </c>
      <c r="O180" s="310" t="s">
        <v>1110</v>
      </c>
      <c r="P180" s="309">
        <v>40</v>
      </c>
      <c r="Q180" s="60" t="s">
        <v>456</v>
      </c>
      <c r="R180" s="309">
        <v>5011</v>
      </c>
      <c r="S180" s="60" t="s">
        <v>209</v>
      </c>
      <c r="T180" s="61">
        <v>210</v>
      </c>
      <c r="U180" s="60" t="s">
        <v>500</v>
      </c>
      <c r="V180" s="1">
        <v>3</v>
      </c>
      <c r="W180" s="1" t="s">
        <v>20</v>
      </c>
      <c r="X180" s="1" t="s">
        <v>1117</v>
      </c>
      <c r="Y180" s="2">
        <v>-105590.26</v>
      </c>
      <c r="Z180" s="2">
        <v>-210130.88</v>
      </c>
      <c r="AA180" s="2">
        <v>-148210.96</v>
      </c>
      <c r="AB180" s="2">
        <v>-133392.71</v>
      </c>
      <c r="AC180" s="2">
        <v>-96873.09</v>
      </c>
      <c r="AD180" s="365">
        <v>-91512.79</v>
      </c>
      <c r="AE180" s="365">
        <v>-68568.68</v>
      </c>
      <c r="AF180" s="365">
        <v>-79930.79</v>
      </c>
      <c r="AG180" s="2">
        <v>-68849.67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1">
        <v>176</v>
      </c>
    </row>
    <row r="181" spans="1:49" ht="12.75">
      <c r="A181" s="5">
        <v>3010</v>
      </c>
      <c r="B181" s="2" t="s">
        <v>354</v>
      </c>
      <c r="C181" s="305">
        <v>0</v>
      </c>
      <c r="D181" s="305">
        <v>0</v>
      </c>
      <c r="E181" s="305">
        <v>0</v>
      </c>
      <c r="F181" s="305">
        <v>0</v>
      </c>
      <c r="G181" s="305">
        <v>0</v>
      </c>
      <c r="H181" s="305">
        <v>-27.52</v>
      </c>
      <c r="I181" s="305">
        <v>0</v>
      </c>
      <c r="J181" s="1" t="s">
        <v>675</v>
      </c>
      <c r="K181" s="3" t="s">
        <v>982</v>
      </c>
      <c r="L181" s="365"/>
      <c r="M181" s="2">
        <v>0</v>
      </c>
      <c r="N181" s="311">
        <v>310</v>
      </c>
      <c r="O181" s="310" t="s">
        <v>1110</v>
      </c>
      <c r="P181" s="309">
        <v>40</v>
      </c>
      <c r="Q181" s="60" t="s">
        <v>456</v>
      </c>
      <c r="R181" s="309">
        <v>5011</v>
      </c>
      <c r="S181" s="60" t="s">
        <v>209</v>
      </c>
      <c r="T181" s="61">
        <v>210</v>
      </c>
      <c r="U181" s="60" t="s">
        <v>500</v>
      </c>
      <c r="V181" s="1">
        <v>3</v>
      </c>
      <c r="W181" s="1" t="s">
        <v>20</v>
      </c>
      <c r="X181" s="1" t="s">
        <v>1117</v>
      </c>
      <c r="Y181" s="2">
        <v>-3.6</v>
      </c>
      <c r="Z181" s="2">
        <v>-5.12</v>
      </c>
      <c r="AA181" s="2">
        <v>-4.88</v>
      </c>
      <c r="AB181" s="2">
        <v>-4.88</v>
      </c>
      <c r="AC181" s="2">
        <v>-3.6</v>
      </c>
      <c r="AD181" s="365">
        <v>-3.2</v>
      </c>
      <c r="AE181" s="365">
        <v>-0.96</v>
      </c>
      <c r="AF181" s="365">
        <v>-1.28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1">
        <v>177</v>
      </c>
    </row>
    <row r="182" spans="1:49" ht="12.75">
      <c r="A182" s="5">
        <v>3010</v>
      </c>
      <c r="B182" s="2" t="s">
        <v>413</v>
      </c>
      <c r="C182" s="305">
        <v>0</v>
      </c>
      <c r="D182" s="305">
        <v>0</v>
      </c>
      <c r="E182" s="305">
        <v>0</v>
      </c>
      <c r="F182" s="305">
        <v>0</v>
      </c>
      <c r="G182" s="305">
        <v>0</v>
      </c>
      <c r="H182" s="305">
        <v>-1682.4</v>
      </c>
      <c r="I182" s="305">
        <v>0</v>
      </c>
      <c r="J182" s="1" t="s">
        <v>676</v>
      </c>
      <c r="K182" s="3" t="s">
        <v>982</v>
      </c>
      <c r="L182" s="365"/>
      <c r="M182" s="2">
        <v>0</v>
      </c>
      <c r="N182" s="311">
        <v>310</v>
      </c>
      <c r="O182" s="310" t="s">
        <v>1110</v>
      </c>
      <c r="P182" s="309">
        <v>40</v>
      </c>
      <c r="Q182" s="60" t="s">
        <v>456</v>
      </c>
      <c r="R182" s="309">
        <v>5021</v>
      </c>
      <c r="S182" s="60" t="s">
        <v>201</v>
      </c>
      <c r="T182" s="61">
        <v>120</v>
      </c>
      <c r="U182" s="60" t="s">
        <v>382</v>
      </c>
      <c r="V182" s="1">
        <v>3</v>
      </c>
      <c r="W182" s="1" t="s">
        <v>20</v>
      </c>
      <c r="X182" s="1" t="s">
        <v>1118</v>
      </c>
      <c r="Y182" s="2">
        <v>-110.4</v>
      </c>
      <c r="Z182" s="2">
        <v>0</v>
      </c>
      <c r="AA182" s="2">
        <v>-39.2</v>
      </c>
      <c r="AB182" s="2">
        <v>-32.8</v>
      </c>
      <c r="AC182" s="2">
        <v>0</v>
      </c>
      <c r="AD182" s="365">
        <v>-60</v>
      </c>
      <c r="AE182" s="365">
        <v>0</v>
      </c>
      <c r="AF182" s="365">
        <v>-576</v>
      </c>
      <c r="AG182" s="2">
        <v>-864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1">
        <v>178</v>
      </c>
    </row>
    <row r="183" spans="1:49" ht="12.75">
      <c r="A183" s="5">
        <v>3010</v>
      </c>
      <c r="B183" s="2" t="s">
        <v>827</v>
      </c>
      <c r="C183" s="305">
        <v>0</v>
      </c>
      <c r="D183" s="305">
        <v>0</v>
      </c>
      <c r="E183" s="305">
        <v>0</v>
      </c>
      <c r="F183" s="305">
        <v>-82.4</v>
      </c>
      <c r="G183" s="305">
        <v>0</v>
      </c>
      <c r="H183" s="305">
        <v>-13.6</v>
      </c>
      <c r="I183" s="305">
        <v>0</v>
      </c>
      <c r="J183" s="1" t="s">
        <v>678</v>
      </c>
      <c r="K183" s="3" t="s">
        <v>982</v>
      </c>
      <c r="L183" s="365"/>
      <c r="M183" s="2">
        <v>-82.4</v>
      </c>
      <c r="N183" s="311">
        <v>310</v>
      </c>
      <c r="O183" s="310" t="s">
        <v>1110</v>
      </c>
      <c r="P183" s="309">
        <v>40</v>
      </c>
      <c r="Q183" s="60" t="s">
        <v>456</v>
      </c>
      <c r="R183" s="309">
        <v>5019</v>
      </c>
      <c r="S183" s="60" t="s">
        <v>679</v>
      </c>
      <c r="T183" s="61">
        <v>120</v>
      </c>
      <c r="U183" s="60" t="s">
        <v>382</v>
      </c>
      <c r="V183" s="1">
        <v>3</v>
      </c>
      <c r="W183" s="1" t="s">
        <v>20</v>
      </c>
      <c r="X183" s="1" t="s">
        <v>1119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365">
        <v>0</v>
      </c>
      <c r="AE183" s="365">
        <v>0</v>
      </c>
      <c r="AF183" s="365">
        <v>0</v>
      </c>
      <c r="AG183" s="2">
        <v>0</v>
      </c>
      <c r="AH183" s="2">
        <v>0</v>
      </c>
      <c r="AI183" s="2">
        <v>-13.6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-29.6</v>
      </c>
      <c r="AQ183" s="2">
        <v>0</v>
      </c>
      <c r="AR183" s="2">
        <v>-52.8</v>
      </c>
      <c r="AS183" s="2">
        <v>0</v>
      </c>
      <c r="AT183" s="2">
        <v>0</v>
      </c>
      <c r="AU183" s="2">
        <v>0</v>
      </c>
      <c r="AV183" s="2">
        <v>0</v>
      </c>
      <c r="AW183" s="1">
        <v>179</v>
      </c>
    </row>
    <row r="184" spans="1:49" ht="12.75">
      <c r="A184" s="5">
        <v>3010</v>
      </c>
      <c r="B184" s="2" t="s">
        <v>828</v>
      </c>
      <c r="C184" s="305">
        <v>-24.8</v>
      </c>
      <c r="D184" s="305">
        <v>0</v>
      </c>
      <c r="E184" s="305">
        <v>0</v>
      </c>
      <c r="F184" s="305">
        <v>-195.2</v>
      </c>
      <c r="G184" s="305">
        <v>0</v>
      </c>
      <c r="H184" s="305">
        <v>0</v>
      </c>
      <c r="I184" s="305">
        <v>0</v>
      </c>
      <c r="J184" s="1" t="s">
        <v>681</v>
      </c>
      <c r="K184" s="3" t="s">
        <v>982</v>
      </c>
      <c r="L184" s="365"/>
      <c r="M184" s="2">
        <v>-195.2</v>
      </c>
      <c r="N184" s="311">
        <v>310</v>
      </c>
      <c r="O184" s="310" t="s">
        <v>1110</v>
      </c>
      <c r="P184" s="309">
        <v>40</v>
      </c>
      <c r="Q184" s="60" t="s">
        <v>456</v>
      </c>
      <c r="R184" s="309">
        <v>5019</v>
      </c>
      <c r="S184" s="60" t="s">
        <v>679</v>
      </c>
      <c r="T184" s="61">
        <v>120</v>
      </c>
      <c r="U184" s="60" t="s">
        <v>382</v>
      </c>
      <c r="V184" s="1">
        <v>3</v>
      </c>
      <c r="W184" s="1" t="s">
        <v>20</v>
      </c>
      <c r="X184" s="1" t="s">
        <v>1119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365">
        <v>0</v>
      </c>
      <c r="AE184" s="365">
        <v>0</v>
      </c>
      <c r="AF184" s="365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-72.8</v>
      </c>
      <c r="AL184" s="2">
        <v>0</v>
      </c>
      <c r="AM184" s="2">
        <v>0</v>
      </c>
      <c r="AN184" s="2">
        <v>0</v>
      </c>
      <c r="AO184" s="2">
        <v>-72.8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-24.8</v>
      </c>
      <c r="AV184" s="2">
        <v>-24.8</v>
      </c>
      <c r="AW184" s="1">
        <v>180</v>
      </c>
    </row>
    <row r="185" spans="1:49" ht="12.75">
      <c r="A185" s="5">
        <v>3010</v>
      </c>
      <c r="B185" s="2" t="s">
        <v>829</v>
      </c>
      <c r="C185" s="305">
        <v>-68.8</v>
      </c>
      <c r="D185" s="305">
        <v>0</v>
      </c>
      <c r="E185" s="305">
        <v>0</v>
      </c>
      <c r="F185" s="305">
        <v>-395.2</v>
      </c>
      <c r="G185" s="305">
        <v>0</v>
      </c>
      <c r="H185" s="305">
        <v>0</v>
      </c>
      <c r="I185" s="305">
        <v>0</v>
      </c>
      <c r="J185" s="1" t="s">
        <v>683</v>
      </c>
      <c r="K185" s="3" t="s">
        <v>982</v>
      </c>
      <c r="L185" s="365"/>
      <c r="M185" s="2">
        <v>-395.2</v>
      </c>
      <c r="N185" s="311">
        <v>310</v>
      </c>
      <c r="O185" s="310" t="s">
        <v>1110</v>
      </c>
      <c r="P185" s="309">
        <v>40</v>
      </c>
      <c r="Q185" s="60" t="s">
        <v>456</v>
      </c>
      <c r="R185" s="309">
        <v>5019</v>
      </c>
      <c r="S185" s="60" t="s">
        <v>679</v>
      </c>
      <c r="T185" s="61">
        <v>120</v>
      </c>
      <c r="U185" s="60" t="s">
        <v>382</v>
      </c>
      <c r="V185" s="1">
        <v>3</v>
      </c>
      <c r="W185" s="1" t="s">
        <v>20</v>
      </c>
      <c r="X185" s="1" t="s">
        <v>1119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365">
        <v>0</v>
      </c>
      <c r="AE185" s="365">
        <v>0</v>
      </c>
      <c r="AF185" s="365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-94.4</v>
      </c>
      <c r="AL185" s="2">
        <v>0</v>
      </c>
      <c r="AM185" s="2">
        <v>0</v>
      </c>
      <c r="AN185" s="2">
        <v>0</v>
      </c>
      <c r="AO185" s="2">
        <v>-129.6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-102.4</v>
      </c>
      <c r="AV185" s="2">
        <v>-68.8</v>
      </c>
      <c r="AW185" s="1">
        <v>181</v>
      </c>
    </row>
    <row r="186" spans="1:49" ht="12.75">
      <c r="A186" s="5">
        <v>3010</v>
      </c>
      <c r="B186" s="2" t="s">
        <v>830</v>
      </c>
      <c r="C186" s="305">
        <v>-720</v>
      </c>
      <c r="D186" s="305">
        <v>0</v>
      </c>
      <c r="E186" s="305">
        <v>-425.6</v>
      </c>
      <c r="F186" s="305">
        <v>-13099.2</v>
      </c>
      <c r="G186" s="305">
        <v>0</v>
      </c>
      <c r="H186" s="305">
        <v>-1793.6</v>
      </c>
      <c r="I186" s="305">
        <v>0</v>
      </c>
      <c r="J186" s="1" t="s">
        <v>689</v>
      </c>
      <c r="K186" s="3" t="s">
        <v>982</v>
      </c>
      <c r="L186" s="365"/>
      <c r="M186" s="2">
        <v>-13099.2</v>
      </c>
      <c r="N186" s="311">
        <v>310</v>
      </c>
      <c r="O186" s="310" t="s">
        <v>1110</v>
      </c>
      <c r="P186" s="309">
        <v>40</v>
      </c>
      <c r="Q186" s="60" t="s">
        <v>456</v>
      </c>
      <c r="R186" s="309">
        <v>5019</v>
      </c>
      <c r="S186" s="60" t="s">
        <v>679</v>
      </c>
      <c r="T186" s="61">
        <v>120</v>
      </c>
      <c r="U186" s="60" t="s">
        <v>382</v>
      </c>
      <c r="V186" s="1">
        <v>3</v>
      </c>
      <c r="W186" s="1" t="s">
        <v>20</v>
      </c>
      <c r="X186" s="1" t="s">
        <v>1119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365">
        <v>0</v>
      </c>
      <c r="AE186" s="365">
        <v>0</v>
      </c>
      <c r="AF186" s="365">
        <v>0</v>
      </c>
      <c r="AG186" s="2">
        <v>0</v>
      </c>
      <c r="AH186" s="2">
        <v>-936</v>
      </c>
      <c r="AI186" s="2">
        <v>-432</v>
      </c>
      <c r="AJ186" s="2">
        <v>-425.6</v>
      </c>
      <c r="AK186" s="2">
        <v>-1872</v>
      </c>
      <c r="AL186" s="2">
        <v>-360</v>
      </c>
      <c r="AM186" s="2">
        <v>-1512</v>
      </c>
      <c r="AN186" s="2">
        <v>-1080</v>
      </c>
      <c r="AO186" s="2">
        <v>-1003.2</v>
      </c>
      <c r="AP186" s="2">
        <v>-1944</v>
      </c>
      <c r="AQ186" s="2">
        <v>-360</v>
      </c>
      <c r="AR186" s="2">
        <v>-1368</v>
      </c>
      <c r="AS186" s="2">
        <v>-1368</v>
      </c>
      <c r="AT186" s="2">
        <v>-720</v>
      </c>
      <c r="AU186" s="2">
        <v>-792</v>
      </c>
      <c r="AV186" s="2">
        <v>-720</v>
      </c>
      <c r="AW186" s="1">
        <v>182</v>
      </c>
    </row>
    <row r="187" spans="1:49" ht="12.75">
      <c r="A187" s="5">
        <v>3010</v>
      </c>
      <c r="B187" s="2" t="s">
        <v>1120</v>
      </c>
      <c r="C187" s="305">
        <v>0</v>
      </c>
      <c r="D187" s="305">
        <v>0</v>
      </c>
      <c r="E187" s="305">
        <v>0</v>
      </c>
      <c r="F187" s="305">
        <v>-1038.4</v>
      </c>
      <c r="G187" s="305">
        <v>0</v>
      </c>
      <c r="H187" s="305">
        <v>0</v>
      </c>
      <c r="I187" s="305">
        <v>0</v>
      </c>
      <c r="J187" s="1" t="s">
        <v>691</v>
      </c>
      <c r="K187" s="3" t="s">
        <v>982</v>
      </c>
      <c r="L187" s="365"/>
      <c r="M187" s="2">
        <v>-1038.4</v>
      </c>
      <c r="N187" s="311">
        <v>310</v>
      </c>
      <c r="O187" s="310" t="s">
        <v>1110</v>
      </c>
      <c r="P187" s="309">
        <v>40</v>
      </c>
      <c r="Q187" s="60" t="s">
        <v>456</v>
      </c>
      <c r="R187" s="309">
        <v>5019</v>
      </c>
      <c r="S187" s="60" t="s">
        <v>679</v>
      </c>
      <c r="T187" s="61">
        <v>120</v>
      </c>
      <c r="U187" s="60" t="s">
        <v>382</v>
      </c>
      <c r="V187" s="1">
        <v>3</v>
      </c>
      <c r="W187" s="1" t="s">
        <v>20</v>
      </c>
      <c r="X187" s="1" t="s">
        <v>1119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365">
        <v>0</v>
      </c>
      <c r="AE187" s="365">
        <v>0</v>
      </c>
      <c r="AF187" s="365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-192</v>
      </c>
      <c r="AN187" s="2">
        <v>0</v>
      </c>
      <c r="AO187" s="2">
        <v>0</v>
      </c>
      <c r="AP187" s="2">
        <v>-288</v>
      </c>
      <c r="AQ187" s="2">
        <v>0</v>
      </c>
      <c r="AR187" s="2">
        <v>-96</v>
      </c>
      <c r="AS187" s="2">
        <v>0</v>
      </c>
      <c r="AT187" s="2">
        <v>-462.4</v>
      </c>
      <c r="AU187" s="2">
        <v>0</v>
      </c>
      <c r="AV187" s="2">
        <v>0</v>
      </c>
      <c r="AW187" s="1">
        <v>183</v>
      </c>
    </row>
    <row r="188" spans="1:49" ht="12.75">
      <c r="A188" s="5">
        <v>3010</v>
      </c>
      <c r="B188" s="2" t="s">
        <v>1121</v>
      </c>
      <c r="C188" s="305">
        <v>0</v>
      </c>
      <c r="D188" s="305">
        <v>0</v>
      </c>
      <c r="E188" s="305">
        <v>0</v>
      </c>
      <c r="F188" s="305">
        <v>-30.4</v>
      </c>
      <c r="G188" s="305">
        <v>0</v>
      </c>
      <c r="H188" s="305">
        <v>0</v>
      </c>
      <c r="I188" s="305">
        <v>0</v>
      </c>
      <c r="J188" s="1" t="s">
        <v>693</v>
      </c>
      <c r="K188" s="3" t="s">
        <v>982</v>
      </c>
      <c r="L188" s="365"/>
      <c r="M188" s="2">
        <v>-30.4</v>
      </c>
      <c r="N188" s="311">
        <v>310</v>
      </c>
      <c r="O188" s="310" t="s">
        <v>1110</v>
      </c>
      <c r="P188" s="309">
        <v>40</v>
      </c>
      <c r="Q188" s="60" t="s">
        <v>456</v>
      </c>
      <c r="R188" s="309">
        <v>5019</v>
      </c>
      <c r="S188" s="60" t="s">
        <v>679</v>
      </c>
      <c r="T188" s="61">
        <v>120</v>
      </c>
      <c r="U188" s="60" t="s">
        <v>382</v>
      </c>
      <c r="V188" s="1">
        <v>3</v>
      </c>
      <c r="W188" s="1" t="s">
        <v>20</v>
      </c>
      <c r="X188" s="1" t="s">
        <v>1119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365">
        <v>0</v>
      </c>
      <c r="AE188" s="365">
        <v>0</v>
      </c>
      <c r="AF188" s="365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-30.4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1">
        <v>184</v>
      </c>
    </row>
    <row r="189" spans="1:49" ht="12.75">
      <c r="A189" s="5">
        <v>3010</v>
      </c>
      <c r="B189" s="2" t="s">
        <v>1122</v>
      </c>
      <c r="C189" s="305">
        <v>0</v>
      </c>
      <c r="D189" s="305">
        <v>0</v>
      </c>
      <c r="E189" s="305">
        <v>0</v>
      </c>
      <c r="F189" s="305">
        <v>0</v>
      </c>
      <c r="G189" s="305">
        <v>0</v>
      </c>
      <c r="H189" s="305">
        <v>-232872</v>
      </c>
      <c r="I189" s="305">
        <v>0</v>
      </c>
      <c r="J189" s="1" t="s">
        <v>904</v>
      </c>
      <c r="K189" s="3" t="s">
        <v>982</v>
      </c>
      <c r="L189" s="365"/>
      <c r="M189" s="2">
        <v>0</v>
      </c>
      <c r="N189" s="311">
        <v>310</v>
      </c>
      <c r="O189" s="310" t="s">
        <v>1110</v>
      </c>
      <c r="P189" s="309">
        <v>40</v>
      </c>
      <c r="Q189" s="60" t="s">
        <v>456</v>
      </c>
      <c r="R189" s="309">
        <v>5013</v>
      </c>
      <c r="S189" s="60" t="s">
        <v>210</v>
      </c>
      <c r="T189" s="61">
        <v>200</v>
      </c>
      <c r="U189" s="60" t="s">
        <v>499</v>
      </c>
      <c r="V189" s="1">
        <v>3</v>
      </c>
      <c r="W189" s="1" t="s">
        <v>20</v>
      </c>
      <c r="X189" s="1" t="s">
        <v>1123</v>
      </c>
      <c r="Y189" s="2">
        <v>-19176</v>
      </c>
      <c r="Z189" s="2">
        <v>-12071.2</v>
      </c>
      <c r="AA189" s="2">
        <v>-36716.8</v>
      </c>
      <c r="AB189" s="2">
        <v>-62349.6</v>
      </c>
      <c r="AC189" s="2">
        <v>-41884.8</v>
      </c>
      <c r="AD189" s="365">
        <v>-38685.6</v>
      </c>
      <c r="AE189" s="365">
        <v>-12034.4</v>
      </c>
      <c r="AF189" s="365">
        <v>-9953.6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1">
        <v>185</v>
      </c>
    </row>
    <row r="190" spans="1:49" ht="12.75">
      <c r="A190" s="5">
        <v>3010</v>
      </c>
      <c r="B190" s="2" t="s">
        <v>1124</v>
      </c>
      <c r="C190" s="305">
        <v>0</v>
      </c>
      <c r="D190" s="305">
        <v>0</v>
      </c>
      <c r="E190" s="305">
        <v>0</v>
      </c>
      <c r="F190" s="305">
        <v>0</v>
      </c>
      <c r="G190" s="305">
        <v>0</v>
      </c>
      <c r="H190" s="305">
        <v>-33520</v>
      </c>
      <c r="I190" s="305">
        <v>0</v>
      </c>
      <c r="J190" s="1" t="s">
        <v>1125</v>
      </c>
      <c r="K190" s="3" t="s">
        <v>982</v>
      </c>
      <c r="L190" s="365"/>
      <c r="M190" s="2">
        <v>0</v>
      </c>
      <c r="N190" s="311">
        <v>310</v>
      </c>
      <c r="O190" s="310" t="s">
        <v>1110</v>
      </c>
      <c r="P190" s="309">
        <v>40</v>
      </c>
      <c r="Q190" s="60" t="s">
        <v>456</v>
      </c>
      <c r="R190" s="309">
        <v>5014</v>
      </c>
      <c r="S190" s="60" t="s">
        <v>211</v>
      </c>
      <c r="T190" s="61">
        <v>220</v>
      </c>
      <c r="U190" s="60" t="s">
        <v>1126</v>
      </c>
      <c r="V190" s="1">
        <v>3</v>
      </c>
      <c r="W190" s="1" t="s">
        <v>20</v>
      </c>
      <c r="X190" s="1" t="s">
        <v>1127</v>
      </c>
      <c r="Y190" s="2">
        <v>-2240</v>
      </c>
      <c r="Z190" s="2">
        <v>-2640</v>
      </c>
      <c r="AA190" s="2">
        <v>-4840</v>
      </c>
      <c r="AB190" s="2">
        <v>-4360</v>
      </c>
      <c r="AC190" s="2">
        <v>-5160</v>
      </c>
      <c r="AD190" s="365">
        <v>-5640</v>
      </c>
      <c r="AE190" s="365">
        <v>-6320</v>
      </c>
      <c r="AF190" s="365">
        <v>-2320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1">
        <v>186</v>
      </c>
    </row>
    <row r="191" spans="1:49" ht="12.75">
      <c r="A191" s="5">
        <v>3010</v>
      </c>
      <c r="B191" s="2" t="s">
        <v>831</v>
      </c>
      <c r="C191" s="305">
        <v>0</v>
      </c>
      <c r="D191" s="305">
        <v>0</v>
      </c>
      <c r="E191" s="305">
        <v>0</v>
      </c>
      <c r="F191" s="305">
        <v>-48</v>
      </c>
      <c r="G191" s="305">
        <v>0</v>
      </c>
      <c r="H191" s="305">
        <v>0</v>
      </c>
      <c r="I191" s="305">
        <v>0</v>
      </c>
      <c r="J191" s="1" t="s">
        <v>703</v>
      </c>
      <c r="K191" s="3" t="s">
        <v>982</v>
      </c>
      <c r="L191" s="365"/>
      <c r="M191" s="2">
        <v>-48</v>
      </c>
      <c r="N191" s="311">
        <v>310</v>
      </c>
      <c r="O191" s="310" t="s">
        <v>1110</v>
      </c>
      <c r="P191" s="309">
        <v>40</v>
      </c>
      <c r="Q191" s="60" t="s">
        <v>456</v>
      </c>
      <c r="R191" s="309">
        <v>5025</v>
      </c>
      <c r="S191" s="60" t="s">
        <v>204</v>
      </c>
      <c r="T191" s="61">
        <v>140</v>
      </c>
      <c r="U191" s="60" t="s">
        <v>504</v>
      </c>
      <c r="V191" s="1">
        <v>3</v>
      </c>
      <c r="W191" s="1" t="s">
        <v>20</v>
      </c>
      <c r="X191" s="1" t="s">
        <v>1128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-48</v>
      </c>
      <c r="AL191" s="2">
        <v>0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1">
        <v>187</v>
      </c>
    </row>
    <row r="192" spans="1:49" ht="12.75">
      <c r="A192" s="5">
        <v>3010</v>
      </c>
      <c r="B192" s="2" t="s">
        <v>1129</v>
      </c>
      <c r="C192" s="305">
        <v>-11.99</v>
      </c>
      <c r="D192" s="305">
        <v>0</v>
      </c>
      <c r="E192" s="305">
        <v>0</v>
      </c>
      <c r="F192" s="305">
        <v>-11.99</v>
      </c>
      <c r="G192" s="305">
        <v>0</v>
      </c>
      <c r="H192" s="305">
        <v>0</v>
      </c>
      <c r="I192" s="305">
        <v>0</v>
      </c>
      <c r="J192" s="1" t="s">
        <v>709</v>
      </c>
      <c r="K192" s="3" t="s">
        <v>982</v>
      </c>
      <c r="L192" s="365"/>
      <c r="M192" s="2">
        <v>-11.99</v>
      </c>
      <c r="N192" s="311">
        <v>310</v>
      </c>
      <c r="O192" s="310" t="s">
        <v>1110</v>
      </c>
      <c r="P192" s="309">
        <v>40</v>
      </c>
      <c r="Q192" s="60" t="s">
        <v>456</v>
      </c>
      <c r="R192" s="309">
        <v>5025</v>
      </c>
      <c r="S192" s="60" t="s">
        <v>204</v>
      </c>
      <c r="T192" s="61">
        <v>140</v>
      </c>
      <c r="U192" s="60" t="s">
        <v>504</v>
      </c>
      <c r="V192" s="1">
        <v>3</v>
      </c>
      <c r="W192" s="1" t="s">
        <v>20</v>
      </c>
      <c r="X192" s="1" t="s">
        <v>1130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-11.99</v>
      </c>
      <c r="AW192" s="1">
        <v>188</v>
      </c>
    </row>
    <row r="193" spans="1:49" ht="12.75">
      <c r="A193" s="5">
        <v>3010</v>
      </c>
      <c r="B193" s="2" t="s">
        <v>1131</v>
      </c>
      <c r="C193" s="305">
        <v>0</v>
      </c>
      <c r="D193" s="305">
        <v>0</v>
      </c>
      <c r="E193" s="305">
        <v>0</v>
      </c>
      <c r="F193" s="305">
        <v>0</v>
      </c>
      <c r="G193" s="305">
        <v>0</v>
      </c>
      <c r="H193" s="305">
        <v>-25.6</v>
      </c>
      <c r="I193" s="305">
        <v>0</v>
      </c>
      <c r="J193" s="1" t="s">
        <v>711</v>
      </c>
      <c r="K193" s="3" t="s">
        <v>982</v>
      </c>
      <c r="L193" s="365"/>
      <c r="M193" s="2">
        <v>0</v>
      </c>
      <c r="N193" s="311">
        <v>310</v>
      </c>
      <c r="O193" s="310" t="s">
        <v>1110</v>
      </c>
      <c r="P193" s="309">
        <v>40</v>
      </c>
      <c r="Q193" s="60" t="s">
        <v>456</v>
      </c>
      <c r="R193" s="309">
        <v>5025</v>
      </c>
      <c r="S193" s="60" t="s">
        <v>204</v>
      </c>
      <c r="T193" s="61">
        <v>140</v>
      </c>
      <c r="U193" s="60" t="s">
        <v>504</v>
      </c>
      <c r="V193" s="1">
        <v>3</v>
      </c>
      <c r="W193" s="1" t="s">
        <v>20</v>
      </c>
      <c r="X193" s="1" t="s">
        <v>1132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-25.6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1">
        <v>189</v>
      </c>
    </row>
    <row r="194" spans="1:49" ht="12.75">
      <c r="A194" s="5">
        <v>3010</v>
      </c>
      <c r="B194" s="2" t="s">
        <v>1133</v>
      </c>
      <c r="C194" s="305">
        <v>0</v>
      </c>
      <c r="D194" s="305">
        <v>0</v>
      </c>
      <c r="E194" s="305">
        <v>0</v>
      </c>
      <c r="F194" s="305">
        <v>0</v>
      </c>
      <c r="G194" s="305">
        <v>0</v>
      </c>
      <c r="H194" s="305">
        <v>-58395.2</v>
      </c>
      <c r="I194" s="305">
        <v>0</v>
      </c>
      <c r="J194" s="1" t="s">
        <v>713</v>
      </c>
      <c r="K194" s="3" t="s">
        <v>982</v>
      </c>
      <c r="L194" s="365"/>
      <c r="M194" s="2">
        <v>0</v>
      </c>
      <c r="N194" s="311">
        <v>310</v>
      </c>
      <c r="O194" s="310" t="s">
        <v>1110</v>
      </c>
      <c r="P194" s="309">
        <v>40</v>
      </c>
      <c r="Q194" s="60" t="s">
        <v>456</v>
      </c>
      <c r="R194" s="309">
        <v>5014</v>
      </c>
      <c r="S194" s="60" t="s">
        <v>211</v>
      </c>
      <c r="T194" s="61">
        <v>200</v>
      </c>
      <c r="U194" s="60" t="s">
        <v>499</v>
      </c>
      <c r="V194" s="1">
        <v>3</v>
      </c>
      <c r="W194" s="1" t="s">
        <v>20</v>
      </c>
      <c r="X194" s="1" t="s">
        <v>1134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-7258.4</v>
      </c>
      <c r="AG194" s="2">
        <v>-51136.8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1">
        <v>190</v>
      </c>
    </row>
    <row r="195" spans="1:49" ht="12.75">
      <c r="A195" s="5">
        <v>3010</v>
      </c>
      <c r="B195" s="2" t="s">
        <v>1135</v>
      </c>
      <c r="C195" s="305">
        <v>-405.6</v>
      </c>
      <c r="D195" s="305">
        <v>0</v>
      </c>
      <c r="E195" s="305">
        <v>-374.4</v>
      </c>
      <c r="F195" s="305">
        <v>-5834.4</v>
      </c>
      <c r="G195" s="305">
        <v>0</v>
      </c>
      <c r="H195" s="305">
        <v>-904.8</v>
      </c>
      <c r="I195" s="305">
        <v>0</v>
      </c>
      <c r="J195" s="1" t="s">
        <v>720</v>
      </c>
      <c r="K195" s="3" t="s">
        <v>982</v>
      </c>
      <c r="L195" s="365"/>
      <c r="M195" s="2">
        <v>-5834.4</v>
      </c>
      <c r="N195" s="311">
        <v>310</v>
      </c>
      <c r="O195" s="310" t="s">
        <v>1110</v>
      </c>
      <c r="P195" s="309">
        <v>40</v>
      </c>
      <c r="Q195" s="60" t="s">
        <v>456</v>
      </c>
      <c r="R195" s="309">
        <v>5027</v>
      </c>
      <c r="S195" s="60" t="s">
        <v>206</v>
      </c>
      <c r="T195" s="61">
        <v>160</v>
      </c>
      <c r="U195" s="60" t="s">
        <v>716</v>
      </c>
      <c r="V195" s="1">
        <v>3</v>
      </c>
      <c r="W195" s="1" t="s">
        <v>20</v>
      </c>
      <c r="X195" s="1" t="s">
        <v>1136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-218.4</v>
      </c>
      <c r="AI195" s="2">
        <v>-312</v>
      </c>
      <c r="AJ195" s="2">
        <v>-374.4</v>
      </c>
      <c r="AK195" s="2">
        <v>-343.2</v>
      </c>
      <c r="AL195" s="2">
        <v>-405.6</v>
      </c>
      <c r="AM195" s="2">
        <v>-405.6</v>
      </c>
      <c r="AN195" s="2">
        <v>-1029.6</v>
      </c>
      <c r="AO195" s="2">
        <v>-811.2</v>
      </c>
      <c r="AP195" s="2">
        <v>-811.2</v>
      </c>
      <c r="AQ195" s="2">
        <v>-374.4</v>
      </c>
      <c r="AR195" s="2">
        <v>-748.8</v>
      </c>
      <c r="AS195" s="2">
        <v>-93.6</v>
      </c>
      <c r="AT195" s="2">
        <v>-280.8</v>
      </c>
      <c r="AU195" s="2">
        <v>-124.8</v>
      </c>
      <c r="AV195" s="2">
        <v>-405.6</v>
      </c>
      <c r="AW195" s="1">
        <v>191</v>
      </c>
    </row>
    <row r="196" spans="1:49" ht="12.75">
      <c r="A196" s="5">
        <v>3010</v>
      </c>
      <c r="B196" s="2" t="s">
        <v>832</v>
      </c>
      <c r="C196" s="305">
        <v>-4254.56</v>
      </c>
      <c r="D196" s="305">
        <v>0</v>
      </c>
      <c r="E196" s="305">
        <v>-6667.44</v>
      </c>
      <c r="F196" s="305">
        <v>-54972.8</v>
      </c>
      <c r="G196" s="305">
        <v>0</v>
      </c>
      <c r="H196" s="305">
        <v>-16681.52</v>
      </c>
      <c r="I196" s="305">
        <v>0</v>
      </c>
      <c r="J196" s="1" t="s">
        <v>730</v>
      </c>
      <c r="K196" s="3" t="s">
        <v>982</v>
      </c>
      <c r="L196" s="365"/>
      <c r="M196" s="2">
        <v>-54972.8</v>
      </c>
      <c r="N196" s="311">
        <v>310</v>
      </c>
      <c r="O196" s="310" t="s">
        <v>1110</v>
      </c>
      <c r="P196" s="309">
        <v>40</v>
      </c>
      <c r="Q196" s="60" t="s">
        <v>456</v>
      </c>
      <c r="R196" s="309">
        <v>5028</v>
      </c>
      <c r="S196" s="60" t="s">
        <v>207</v>
      </c>
      <c r="T196" s="61">
        <v>170</v>
      </c>
      <c r="U196" s="60" t="s">
        <v>501</v>
      </c>
      <c r="V196" s="1">
        <v>3</v>
      </c>
      <c r="W196" s="1" t="s">
        <v>20</v>
      </c>
      <c r="X196" s="1" t="s">
        <v>1137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-4919.04</v>
      </c>
      <c r="AI196" s="2">
        <v>-5095.04</v>
      </c>
      <c r="AJ196" s="2">
        <v>-6667.44</v>
      </c>
      <c r="AK196" s="2">
        <v>-3820.88</v>
      </c>
      <c r="AL196" s="2">
        <v>-12894.64</v>
      </c>
      <c r="AM196" s="2">
        <v>-4171.92</v>
      </c>
      <c r="AN196" s="2">
        <v>-8235.2</v>
      </c>
      <c r="AO196" s="2">
        <v>-8090.4</v>
      </c>
      <c r="AP196" s="2">
        <v>-3792.88</v>
      </c>
      <c r="AQ196" s="2">
        <v>-2291.28</v>
      </c>
      <c r="AR196" s="2">
        <v>-1263.92</v>
      </c>
      <c r="AS196" s="2">
        <v>-1144.24</v>
      </c>
      <c r="AT196" s="2">
        <v>-1581.44</v>
      </c>
      <c r="AU196" s="2">
        <v>-3431.44</v>
      </c>
      <c r="AV196" s="2">
        <v>-4254.56</v>
      </c>
      <c r="AW196" s="1">
        <v>192</v>
      </c>
    </row>
    <row r="197" spans="1:49" ht="12.75">
      <c r="A197" s="5">
        <v>3010</v>
      </c>
      <c r="B197" s="2" t="s">
        <v>833</v>
      </c>
      <c r="C197" s="305">
        <v>-4928</v>
      </c>
      <c r="D197" s="305">
        <v>0</v>
      </c>
      <c r="E197" s="305">
        <v>-15594.4</v>
      </c>
      <c r="F197" s="305">
        <v>-86517.6</v>
      </c>
      <c r="G197" s="305">
        <v>0</v>
      </c>
      <c r="H197" s="305">
        <v>-28882.4</v>
      </c>
      <c r="I197" s="305">
        <v>0</v>
      </c>
      <c r="J197" s="1" t="s">
        <v>732</v>
      </c>
      <c r="K197" s="3" t="s">
        <v>982</v>
      </c>
      <c r="L197" s="365"/>
      <c r="M197" s="2">
        <v>-86517.6</v>
      </c>
      <c r="N197" s="311">
        <v>310</v>
      </c>
      <c r="O197" s="310" t="s">
        <v>1110</v>
      </c>
      <c r="P197" s="309">
        <v>40</v>
      </c>
      <c r="Q197" s="60" t="s">
        <v>456</v>
      </c>
      <c r="R197" s="309">
        <v>5028</v>
      </c>
      <c r="S197" s="60" t="s">
        <v>207</v>
      </c>
      <c r="T197" s="61">
        <v>170</v>
      </c>
      <c r="U197" s="60" t="s">
        <v>501</v>
      </c>
      <c r="V197" s="1">
        <v>3</v>
      </c>
      <c r="W197" s="1" t="s">
        <v>20</v>
      </c>
      <c r="X197" s="1" t="s">
        <v>1138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-6002.4</v>
      </c>
      <c r="AI197" s="2">
        <v>-7285.6</v>
      </c>
      <c r="AJ197" s="2">
        <v>-15594.4</v>
      </c>
      <c r="AK197" s="2">
        <v>-14924</v>
      </c>
      <c r="AL197" s="2">
        <v>-12516.8</v>
      </c>
      <c r="AM197" s="2">
        <v>-9785.6</v>
      </c>
      <c r="AN197" s="2">
        <v>-7943.2</v>
      </c>
      <c r="AO197" s="2">
        <v>-7457.6</v>
      </c>
      <c r="AP197" s="2">
        <v>-5163.2</v>
      </c>
      <c r="AQ197" s="2">
        <v>-4451.2</v>
      </c>
      <c r="AR197" s="2">
        <v>-4286.4</v>
      </c>
      <c r="AS197" s="2">
        <v>-5300</v>
      </c>
      <c r="AT197" s="2">
        <v>-4472</v>
      </c>
      <c r="AU197" s="2">
        <v>-5289.6</v>
      </c>
      <c r="AV197" s="2">
        <v>-4928</v>
      </c>
      <c r="AW197" s="1">
        <v>193</v>
      </c>
    </row>
    <row r="198" spans="1:49" ht="12.75">
      <c r="A198" s="5">
        <v>3010</v>
      </c>
      <c r="B198" s="2" t="s">
        <v>834</v>
      </c>
      <c r="C198" s="305">
        <v>-1480</v>
      </c>
      <c r="D198" s="305">
        <v>0</v>
      </c>
      <c r="E198" s="305">
        <v>-2120</v>
      </c>
      <c r="F198" s="305">
        <v>-34760</v>
      </c>
      <c r="G198" s="305">
        <v>0</v>
      </c>
      <c r="H198" s="305">
        <v>-7800</v>
      </c>
      <c r="I198" s="305">
        <v>0</v>
      </c>
      <c r="J198" s="1" t="s">
        <v>734</v>
      </c>
      <c r="K198" s="3" t="s">
        <v>982</v>
      </c>
      <c r="L198" s="365"/>
      <c r="M198" s="2">
        <v>-34760</v>
      </c>
      <c r="N198" s="311">
        <v>310</v>
      </c>
      <c r="O198" s="310" t="s">
        <v>1110</v>
      </c>
      <c r="P198" s="309">
        <v>40</v>
      </c>
      <c r="Q198" s="60" t="s">
        <v>456</v>
      </c>
      <c r="R198" s="309">
        <v>5020</v>
      </c>
      <c r="S198" s="60" t="s">
        <v>205</v>
      </c>
      <c r="T198" s="61">
        <v>170</v>
      </c>
      <c r="U198" s="60" t="s">
        <v>501</v>
      </c>
      <c r="V198" s="1">
        <v>3</v>
      </c>
      <c r="W198" s="1" t="s">
        <v>20</v>
      </c>
      <c r="X198" s="1" t="s">
        <v>1139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-3160</v>
      </c>
      <c r="AI198" s="2">
        <v>-2520</v>
      </c>
      <c r="AJ198" s="2">
        <v>-2120</v>
      </c>
      <c r="AK198" s="2">
        <v>-1960</v>
      </c>
      <c r="AL198" s="2">
        <v>-800</v>
      </c>
      <c r="AM198" s="2">
        <v>-3480</v>
      </c>
      <c r="AN198" s="2">
        <v>-3440</v>
      </c>
      <c r="AO198" s="2">
        <v>-4720</v>
      </c>
      <c r="AP198" s="2">
        <v>-4400</v>
      </c>
      <c r="AQ198" s="2">
        <v>-3320</v>
      </c>
      <c r="AR198" s="2">
        <v>-3440</v>
      </c>
      <c r="AS198" s="2">
        <v>-2640</v>
      </c>
      <c r="AT198" s="2">
        <v>-1960</v>
      </c>
      <c r="AU198" s="2">
        <v>-3120</v>
      </c>
      <c r="AV198" s="2">
        <v>-1480</v>
      </c>
      <c r="AW198" s="1">
        <v>194</v>
      </c>
    </row>
    <row r="199" spans="1:49" ht="12.75">
      <c r="A199" s="5">
        <v>3010</v>
      </c>
      <c r="B199" s="2" t="s">
        <v>1140</v>
      </c>
      <c r="C199" s="305">
        <v>-2736</v>
      </c>
      <c r="D199" s="305">
        <v>0</v>
      </c>
      <c r="E199" s="305">
        <v>-8644</v>
      </c>
      <c r="F199" s="305">
        <v>-45776</v>
      </c>
      <c r="G199" s="305">
        <v>0</v>
      </c>
      <c r="H199" s="305">
        <v>-26288</v>
      </c>
      <c r="I199" s="305">
        <v>0</v>
      </c>
      <c r="J199" s="1" t="s">
        <v>1024</v>
      </c>
      <c r="K199" s="3" t="s">
        <v>982</v>
      </c>
      <c r="L199" s="365"/>
      <c r="M199" s="2">
        <v>-45776</v>
      </c>
      <c r="N199" s="311">
        <v>310</v>
      </c>
      <c r="O199" s="310" t="s">
        <v>1110</v>
      </c>
      <c r="P199" s="309">
        <v>40</v>
      </c>
      <c r="Q199" s="60" t="s">
        <v>456</v>
      </c>
      <c r="R199" s="309">
        <v>5020</v>
      </c>
      <c r="S199" s="60" t="s">
        <v>205</v>
      </c>
      <c r="T199" s="61">
        <v>170</v>
      </c>
      <c r="U199" s="60" t="s">
        <v>501</v>
      </c>
      <c r="V199" s="1">
        <v>3</v>
      </c>
      <c r="W199" s="1" t="s">
        <v>20</v>
      </c>
      <c r="X199" s="1" t="s">
        <v>1139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-7836</v>
      </c>
      <c r="AI199" s="2">
        <v>-9808</v>
      </c>
      <c r="AJ199" s="2">
        <v>-8644</v>
      </c>
      <c r="AK199" s="2">
        <v>-10464</v>
      </c>
      <c r="AL199" s="2">
        <v>-3292</v>
      </c>
      <c r="AM199" s="2">
        <v>-2328</v>
      </c>
      <c r="AN199" s="2">
        <v>0</v>
      </c>
      <c r="AO199" s="2">
        <v>-3952</v>
      </c>
      <c r="AP199" s="2">
        <v>-4636</v>
      </c>
      <c r="AQ199" s="2">
        <v>0</v>
      </c>
      <c r="AR199" s="2">
        <v>-1420</v>
      </c>
      <c r="AS199" s="2">
        <v>-3952</v>
      </c>
      <c r="AT199" s="2">
        <v>-6840</v>
      </c>
      <c r="AU199" s="2">
        <v>-6156</v>
      </c>
      <c r="AV199" s="2">
        <v>-2736</v>
      </c>
      <c r="AW199" s="1">
        <v>195</v>
      </c>
    </row>
    <row r="200" spans="1:49" ht="12.75">
      <c r="A200" s="5">
        <v>3010</v>
      </c>
      <c r="B200" s="2" t="s">
        <v>835</v>
      </c>
      <c r="C200" s="305">
        <v>-50892</v>
      </c>
      <c r="D200" s="305">
        <v>0</v>
      </c>
      <c r="E200" s="305">
        <v>-57088</v>
      </c>
      <c r="F200" s="305">
        <v>-698104.8</v>
      </c>
      <c r="G200" s="305">
        <v>0</v>
      </c>
      <c r="H200" s="305">
        <v>-176996</v>
      </c>
      <c r="I200" s="305">
        <v>0</v>
      </c>
      <c r="J200" s="1" t="s">
        <v>736</v>
      </c>
      <c r="K200" s="3" t="s">
        <v>982</v>
      </c>
      <c r="L200" s="365"/>
      <c r="M200" s="2">
        <v>-698104.8</v>
      </c>
      <c r="N200" s="311">
        <v>310</v>
      </c>
      <c r="O200" s="310" t="s">
        <v>1110</v>
      </c>
      <c r="P200" s="309">
        <v>40</v>
      </c>
      <c r="Q200" s="60" t="s">
        <v>456</v>
      </c>
      <c r="R200" s="309">
        <v>5022</v>
      </c>
      <c r="S200" s="60" t="s">
        <v>202</v>
      </c>
      <c r="T200" s="61">
        <v>180</v>
      </c>
      <c r="U200" s="60" t="s">
        <v>385</v>
      </c>
      <c r="V200" s="1">
        <v>3</v>
      </c>
      <c r="W200" s="1" t="s">
        <v>20</v>
      </c>
      <c r="X200" s="1" t="s">
        <v>1141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-67552</v>
      </c>
      <c r="AI200" s="2">
        <v>-52356</v>
      </c>
      <c r="AJ200" s="2">
        <v>-57088</v>
      </c>
      <c r="AK200" s="2">
        <v>-62700</v>
      </c>
      <c r="AL200" s="2">
        <v>-53808.8</v>
      </c>
      <c r="AM200" s="2">
        <v>-55240.8</v>
      </c>
      <c r="AN200" s="2">
        <v>-65134.4</v>
      </c>
      <c r="AO200" s="2">
        <v>-77673.6</v>
      </c>
      <c r="AP200" s="2">
        <v>-72166.4</v>
      </c>
      <c r="AQ200" s="2">
        <v>-55633.6</v>
      </c>
      <c r="AR200" s="2">
        <v>-50484.8</v>
      </c>
      <c r="AS200" s="2">
        <v>-46430.4</v>
      </c>
      <c r="AT200" s="2">
        <v>-55300</v>
      </c>
      <c r="AU200" s="2">
        <v>-52640</v>
      </c>
      <c r="AV200" s="2">
        <v>-50892</v>
      </c>
      <c r="AW200" s="1">
        <v>196</v>
      </c>
    </row>
    <row r="201" spans="1:49" ht="12.75">
      <c r="A201" s="5">
        <v>3010</v>
      </c>
      <c r="B201" s="2" t="s">
        <v>836</v>
      </c>
      <c r="C201" s="305">
        <v>-57148</v>
      </c>
      <c r="D201" s="305">
        <v>0</v>
      </c>
      <c r="E201" s="305">
        <v>-60972</v>
      </c>
      <c r="F201" s="305">
        <v>-590270.4</v>
      </c>
      <c r="G201" s="305">
        <v>0</v>
      </c>
      <c r="H201" s="305">
        <v>-165574.4</v>
      </c>
      <c r="I201" s="305">
        <v>0</v>
      </c>
      <c r="J201" s="1" t="s">
        <v>738</v>
      </c>
      <c r="K201" s="3" t="s">
        <v>982</v>
      </c>
      <c r="L201" s="365"/>
      <c r="M201" s="2">
        <v>-590270.4</v>
      </c>
      <c r="N201" s="311">
        <v>310</v>
      </c>
      <c r="O201" s="310" t="s">
        <v>1110</v>
      </c>
      <c r="P201" s="309">
        <v>40</v>
      </c>
      <c r="Q201" s="60" t="s">
        <v>456</v>
      </c>
      <c r="R201" s="309">
        <v>5022</v>
      </c>
      <c r="S201" s="60" t="s">
        <v>202</v>
      </c>
      <c r="T201" s="61">
        <v>180</v>
      </c>
      <c r="U201" s="60" t="s">
        <v>385</v>
      </c>
      <c r="V201" s="1">
        <v>3</v>
      </c>
      <c r="W201" s="1" t="s">
        <v>20</v>
      </c>
      <c r="X201" s="1" t="s">
        <v>1142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-53052.8</v>
      </c>
      <c r="AI201" s="2">
        <v>-51549.6</v>
      </c>
      <c r="AJ201" s="2">
        <v>-60972</v>
      </c>
      <c r="AK201" s="2">
        <v>-58495.2</v>
      </c>
      <c r="AL201" s="2">
        <v>-46434.4</v>
      </c>
      <c r="AM201" s="2">
        <v>-46539.2</v>
      </c>
      <c r="AN201" s="2">
        <v>-57084.8</v>
      </c>
      <c r="AO201" s="2">
        <v>-63039.2</v>
      </c>
      <c r="AP201" s="2">
        <v>-52101.6</v>
      </c>
      <c r="AQ201" s="2">
        <v>-36411.2</v>
      </c>
      <c r="AR201" s="2">
        <v>-38805.6</v>
      </c>
      <c r="AS201" s="2">
        <v>-42251.2</v>
      </c>
      <c r="AT201" s="2">
        <v>-41695.2</v>
      </c>
      <c r="AU201" s="2">
        <v>-50264.8</v>
      </c>
      <c r="AV201" s="2">
        <v>-57148</v>
      </c>
      <c r="AW201" s="1">
        <v>197</v>
      </c>
    </row>
    <row r="202" spans="1:49" ht="12.75">
      <c r="A202" s="5">
        <v>3010</v>
      </c>
      <c r="B202" s="2" t="s">
        <v>837</v>
      </c>
      <c r="C202" s="305">
        <v>-24431.2</v>
      </c>
      <c r="D202" s="305">
        <v>0</v>
      </c>
      <c r="E202" s="305">
        <v>-28256.8</v>
      </c>
      <c r="F202" s="305">
        <v>-268350.4</v>
      </c>
      <c r="G202" s="305">
        <v>0</v>
      </c>
      <c r="H202" s="305">
        <v>-73572</v>
      </c>
      <c r="I202" s="305">
        <v>0</v>
      </c>
      <c r="J202" s="1" t="s">
        <v>740</v>
      </c>
      <c r="K202" s="3" t="s">
        <v>982</v>
      </c>
      <c r="L202" s="365"/>
      <c r="M202" s="2">
        <v>-268350.4</v>
      </c>
      <c r="N202" s="311">
        <v>310</v>
      </c>
      <c r="O202" s="310" t="s">
        <v>1110</v>
      </c>
      <c r="P202" s="309">
        <v>40</v>
      </c>
      <c r="Q202" s="60" t="s">
        <v>456</v>
      </c>
      <c r="R202" s="309">
        <v>5022</v>
      </c>
      <c r="S202" s="60" t="s">
        <v>202</v>
      </c>
      <c r="T202" s="61">
        <v>180</v>
      </c>
      <c r="U202" s="60" t="s">
        <v>385</v>
      </c>
      <c r="V202" s="1">
        <v>3</v>
      </c>
      <c r="W202" s="1" t="s">
        <v>20</v>
      </c>
      <c r="X202" s="1" t="s">
        <v>1143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-22683.2</v>
      </c>
      <c r="AI202" s="2">
        <v>-22632</v>
      </c>
      <c r="AJ202" s="2">
        <v>-28256.8</v>
      </c>
      <c r="AK202" s="2">
        <v>-22985.6</v>
      </c>
      <c r="AL202" s="2">
        <v>-22713.6</v>
      </c>
      <c r="AM202" s="2">
        <v>-21608.8</v>
      </c>
      <c r="AN202" s="2">
        <v>-30137.6</v>
      </c>
      <c r="AO202" s="2">
        <v>-28298.4</v>
      </c>
      <c r="AP202" s="2">
        <v>-28087.2</v>
      </c>
      <c r="AQ202" s="2">
        <v>-16060.8</v>
      </c>
      <c r="AR202" s="2">
        <v>-18168.8</v>
      </c>
      <c r="AS202" s="2">
        <v>-15724.8</v>
      </c>
      <c r="AT202" s="2">
        <v>-20704</v>
      </c>
      <c r="AU202" s="2">
        <v>-19429.6</v>
      </c>
      <c r="AV202" s="2">
        <v>-24431.2</v>
      </c>
      <c r="AW202" s="1">
        <v>198</v>
      </c>
    </row>
    <row r="203" spans="1:49" ht="12.75">
      <c r="A203" s="5">
        <v>3010</v>
      </c>
      <c r="B203" s="2" t="s">
        <v>838</v>
      </c>
      <c r="C203" s="305">
        <v>-320</v>
      </c>
      <c r="D203" s="305">
        <v>0</v>
      </c>
      <c r="E203" s="305">
        <v>-612</v>
      </c>
      <c r="F203" s="305">
        <v>-6628</v>
      </c>
      <c r="G203" s="305">
        <v>0</v>
      </c>
      <c r="H203" s="305">
        <v>-1584</v>
      </c>
      <c r="I203" s="305">
        <v>0</v>
      </c>
      <c r="J203" s="1" t="s">
        <v>742</v>
      </c>
      <c r="K203" s="3" t="s">
        <v>982</v>
      </c>
      <c r="L203" s="365"/>
      <c r="M203" s="2">
        <v>-6628</v>
      </c>
      <c r="N203" s="311">
        <v>310</v>
      </c>
      <c r="O203" s="310" t="s">
        <v>1110</v>
      </c>
      <c r="P203" s="309">
        <v>40</v>
      </c>
      <c r="Q203" s="60" t="s">
        <v>456</v>
      </c>
      <c r="R203" s="309">
        <v>5024</v>
      </c>
      <c r="S203" s="60" t="s">
        <v>155</v>
      </c>
      <c r="T203" s="61">
        <v>190</v>
      </c>
      <c r="U203" s="60" t="s">
        <v>503</v>
      </c>
      <c r="V203" s="1">
        <v>3</v>
      </c>
      <c r="W203" s="1" t="s">
        <v>20</v>
      </c>
      <c r="X203" s="1" t="s">
        <v>1144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-252</v>
      </c>
      <c r="AI203" s="2">
        <v>-720</v>
      </c>
      <c r="AJ203" s="2">
        <v>-612</v>
      </c>
      <c r="AK203" s="2">
        <v>-612</v>
      </c>
      <c r="AL203" s="2">
        <v>-648</v>
      </c>
      <c r="AM203" s="2">
        <v>-756</v>
      </c>
      <c r="AN203" s="2">
        <v>-468</v>
      </c>
      <c r="AO203" s="2">
        <v>-504</v>
      </c>
      <c r="AP203" s="2">
        <v>-360</v>
      </c>
      <c r="AQ203" s="2">
        <v>-720</v>
      </c>
      <c r="AR203" s="2">
        <v>-680</v>
      </c>
      <c r="AS203" s="2">
        <v>-200</v>
      </c>
      <c r="AT203" s="2">
        <v>-640</v>
      </c>
      <c r="AU203" s="2">
        <v>-720</v>
      </c>
      <c r="AV203" s="2">
        <v>-320</v>
      </c>
      <c r="AW203" s="1">
        <v>199</v>
      </c>
    </row>
    <row r="204" spans="1:49" ht="12.75">
      <c r="A204" s="5">
        <v>3010</v>
      </c>
      <c r="B204" s="2" t="s">
        <v>839</v>
      </c>
      <c r="C204" s="305">
        <v>-3545.4</v>
      </c>
      <c r="D204" s="305">
        <v>0</v>
      </c>
      <c r="E204" s="305">
        <v>-3905.4</v>
      </c>
      <c r="F204" s="305">
        <v>-41258.39</v>
      </c>
      <c r="G204" s="305">
        <v>0</v>
      </c>
      <c r="H204" s="305">
        <v>-9784.68</v>
      </c>
      <c r="I204" s="305">
        <v>0</v>
      </c>
      <c r="J204" s="1" t="s">
        <v>744</v>
      </c>
      <c r="K204" s="3" t="s">
        <v>982</v>
      </c>
      <c r="L204" s="365"/>
      <c r="M204" s="2">
        <v>-41258.39</v>
      </c>
      <c r="N204" s="311">
        <v>310</v>
      </c>
      <c r="O204" s="310" t="s">
        <v>1110</v>
      </c>
      <c r="P204" s="309">
        <v>40</v>
      </c>
      <c r="Q204" s="60" t="s">
        <v>456</v>
      </c>
      <c r="R204" s="309">
        <v>5024</v>
      </c>
      <c r="S204" s="60" t="s">
        <v>155</v>
      </c>
      <c r="T204" s="61">
        <v>190</v>
      </c>
      <c r="U204" s="60" t="s">
        <v>503</v>
      </c>
      <c r="V204" s="1">
        <v>3</v>
      </c>
      <c r="W204" s="1" t="s">
        <v>20</v>
      </c>
      <c r="X204" s="1" t="s">
        <v>1144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-2800.6</v>
      </c>
      <c r="AI204" s="2">
        <v>-3078.68</v>
      </c>
      <c r="AJ204" s="2">
        <v>-3905.4</v>
      </c>
      <c r="AK204" s="2">
        <v>-3112.28</v>
      </c>
      <c r="AL204" s="2">
        <v>-2589.2</v>
      </c>
      <c r="AM204" s="2">
        <v>-3479.16</v>
      </c>
      <c r="AN204" s="2">
        <v>-4119.44</v>
      </c>
      <c r="AO204" s="2">
        <v>-3257.54</v>
      </c>
      <c r="AP204" s="2">
        <v>-3944.56</v>
      </c>
      <c r="AQ204" s="2">
        <v>-3638.72</v>
      </c>
      <c r="AR204" s="2">
        <v>-2448.53</v>
      </c>
      <c r="AS204" s="2">
        <v>-3805.84</v>
      </c>
      <c r="AT204" s="2">
        <v>-3999.12</v>
      </c>
      <c r="AU204" s="2">
        <v>-3318.6</v>
      </c>
      <c r="AV204" s="2">
        <v>-3545.4</v>
      </c>
      <c r="AW204" s="1">
        <v>200</v>
      </c>
    </row>
    <row r="205" spans="1:49" ht="12.75">
      <c r="A205" s="5">
        <v>3010</v>
      </c>
      <c r="B205" s="2" t="s">
        <v>840</v>
      </c>
      <c r="C205" s="305">
        <v>-94.4</v>
      </c>
      <c r="D205" s="305">
        <v>0</v>
      </c>
      <c r="E205" s="305">
        <v>0</v>
      </c>
      <c r="F205" s="305">
        <v>-236.8</v>
      </c>
      <c r="G205" s="305">
        <v>0</v>
      </c>
      <c r="H205" s="305">
        <v>0</v>
      </c>
      <c r="I205" s="305">
        <v>0</v>
      </c>
      <c r="J205" s="1" t="s">
        <v>746</v>
      </c>
      <c r="K205" s="3" t="s">
        <v>982</v>
      </c>
      <c r="L205" s="365"/>
      <c r="M205" s="2">
        <v>-236.8</v>
      </c>
      <c r="N205" s="311">
        <v>310</v>
      </c>
      <c r="O205" s="310" t="s">
        <v>1110</v>
      </c>
      <c r="P205" s="309">
        <v>40</v>
      </c>
      <c r="Q205" s="60" t="s">
        <v>456</v>
      </c>
      <c r="R205" s="309">
        <v>5024</v>
      </c>
      <c r="S205" s="60" t="s">
        <v>155</v>
      </c>
      <c r="T205" s="61">
        <v>190</v>
      </c>
      <c r="U205" s="60" t="s">
        <v>503</v>
      </c>
      <c r="V205" s="1">
        <v>3</v>
      </c>
      <c r="W205" s="1" t="s">
        <v>20</v>
      </c>
      <c r="X205" s="1" t="s">
        <v>1145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2">
        <v>0</v>
      </c>
      <c r="AS205" s="2">
        <v>0</v>
      </c>
      <c r="AT205" s="2">
        <v>-142.4</v>
      </c>
      <c r="AU205" s="2">
        <v>0</v>
      </c>
      <c r="AV205" s="2">
        <v>-94.4</v>
      </c>
      <c r="AW205" s="1">
        <v>201</v>
      </c>
    </row>
    <row r="206" spans="1:49" ht="12.75">
      <c r="A206" s="5">
        <v>3010</v>
      </c>
      <c r="B206" s="2" t="s">
        <v>841</v>
      </c>
      <c r="C206" s="305">
        <v>-1904.8</v>
      </c>
      <c r="D206" s="305">
        <v>0</v>
      </c>
      <c r="E206" s="305">
        <v>-1065.6</v>
      </c>
      <c r="F206" s="305">
        <v>-20031.2</v>
      </c>
      <c r="G206" s="305">
        <v>0</v>
      </c>
      <c r="H206" s="305">
        <v>-3532</v>
      </c>
      <c r="I206" s="305">
        <v>0</v>
      </c>
      <c r="J206" s="1" t="s">
        <v>748</v>
      </c>
      <c r="K206" s="3" t="s">
        <v>982</v>
      </c>
      <c r="L206" s="365"/>
      <c r="M206" s="2">
        <v>-20031.2</v>
      </c>
      <c r="N206" s="311">
        <v>310</v>
      </c>
      <c r="O206" s="310" t="s">
        <v>1110</v>
      </c>
      <c r="P206" s="309">
        <v>40</v>
      </c>
      <c r="Q206" s="60" t="s">
        <v>456</v>
      </c>
      <c r="R206" s="309">
        <v>5024</v>
      </c>
      <c r="S206" s="60" t="s">
        <v>155</v>
      </c>
      <c r="T206" s="61">
        <v>190</v>
      </c>
      <c r="U206" s="60" t="s">
        <v>503</v>
      </c>
      <c r="V206" s="1">
        <v>3</v>
      </c>
      <c r="W206" s="1" t="s">
        <v>20</v>
      </c>
      <c r="X206" s="1" t="s">
        <v>1145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-1067.2</v>
      </c>
      <c r="AI206" s="2">
        <v>-1399.2</v>
      </c>
      <c r="AJ206" s="2">
        <v>-1065.6</v>
      </c>
      <c r="AK206" s="2">
        <v>-1430.4</v>
      </c>
      <c r="AL206" s="2">
        <v>-1043.2</v>
      </c>
      <c r="AM206" s="2">
        <v>-2084.8</v>
      </c>
      <c r="AN206" s="2">
        <v>-1498.4</v>
      </c>
      <c r="AO206" s="2">
        <v>-1553.6</v>
      </c>
      <c r="AP206" s="2">
        <v>-746.4</v>
      </c>
      <c r="AQ206" s="2">
        <v>-1296</v>
      </c>
      <c r="AR206" s="2">
        <v>-2260</v>
      </c>
      <c r="AS206" s="2">
        <v>-2329.6</v>
      </c>
      <c r="AT206" s="2">
        <v>-1392</v>
      </c>
      <c r="AU206" s="2">
        <v>-2492</v>
      </c>
      <c r="AV206" s="2">
        <v>-1904.8</v>
      </c>
      <c r="AW206" s="1">
        <v>202</v>
      </c>
    </row>
    <row r="207" spans="1:49" ht="12.75">
      <c r="A207" s="5">
        <v>3010</v>
      </c>
      <c r="B207" s="2" t="s">
        <v>842</v>
      </c>
      <c r="C207" s="305">
        <v>-1600.16</v>
      </c>
      <c r="D207" s="305">
        <v>0</v>
      </c>
      <c r="E207" s="305">
        <v>-6472.8</v>
      </c>
      <c r="F207" s="305">
        <v>-22905.85</v>
      </c>
      <c r="G207" s="305">
        <v>0</v>
      </c>
      <c r="H207" s="305">
        <v>-11008.32</v>
      </c>
      <c r="I207" s="305">
        <v>0</v>
      </c>
      <c r="J207" s="1" t="s">
        <v>750</v>
      </c>
      <c r="K207" s="3" t="s">
        <v>982</v>
      </c>
      <c r="L207" s="365"/>
      <c r="M207" s="2">
        <v>-22905.85</v>
      </c>
      <c r="N207" s="311">
        <v>310</v>
      </c>
      <c r="O207" s="310" t="s">
        <v>1110</v>
      </c>
      <c r="P207" s="309">
        <v>40</v>
      </c>
      <c r="Q207" s="60" t="s">
        <v>456</v>
      </c>
      <c r="R207" s="309">
        <v>5024</v>
      </c>
      <c r="S207" s="60" t="s">
        <v>155</v>
      </c>
      <c r="T207" s="61">
        <v>190</v>
      </c>
      <c r="U207" s="60" t="s">
        <v>503</v>
      </c>
      <c r="V207" s="1">
        <v>3</v>
      </c>
      <c r="W207" s="1" t="s">
        <v>20</v>
      </c>
      <c r="X207" s="1" t="s">
        <v>1145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-2219.92</v>
      </c>
      <c r="AI207" s="2">
        <v>-2315.6</v>
      </c>
      <c r="AJ207" s="2">
        <v>-6472.8</v>
      </c>
      <c r="AK207" s="2">
        <v>-1464.16</v>
      </c>
      <c r="AL207" s="2">
        <v>-1056.72</v>
      </c>
      <c r="AM207" s="2">
        <v>-424</v>
      </c>
      <c r="AN207" s="2">
        <v>-4340.8</v>
      </c>
      <c r="AO207" s="2">
        <v>-1936.8</v>
      </c>
      <c r="AP207" s="2">
        <v>-1828.8</v>
      </c>
      <c r="AQ207" s="2">
        <v>-2280.81</v>
      </c>
      <c r="AR207" s="2">
        <v>-3179.2</v>
      </c>
      <c r="AS207" s="2">
        <v>-3842.4</v>
      </c>
      <c r="AT207" s="2">
        <v>-801.6</v>
      </c>
      <c r="AU207" s="2">
        <v>-150.4</v>
      </c>
      <c r="AV207" s="2">
        <v>-1600.16</v>
      </c>
      <c r="AW207" s="1">
        <v>203</v>
      </c>
    </row>
    <row r="208" spans="1:49" ht="12.75">
      <c r="A208" s="5">
        <v>3010</v>
      </c>
      <c r="B208" s="2" t="s">
        <v>843</v>
      </c>
      <c r="C208" s="305">
        <v>-33126.4</v>
      </c>
      <c r="D208" s="305">
        <v>0</v>
      </c>
      <c r="E208" s="305">
        <v>-31545.6</v>
      </c>
      <c r="F208" s="305">
        <v>-293589.11</v>
      </c>
      <c r="G208" s="305">
        <v>0</v>
      </c>
      <c r="H208" s="305">
        <v>-51515.88</v>
      </c>
      <c r="I208" s="305">
        <v>0</v>
      </c>
      <c r="J208" s="1" t="s">
        <v>752</v>
      </c>
      <c r="K208" s="3" t="s">
        <v>982</v>
      </c>
      <c r="L208" s="365"/>
      <c r="M208" s="2">
        <v>-293589.11</v>
      </c>
      <c r="N208" s="311">
        <v>310</v>
      </c>
      <c r="O208" s="310" t="s">
        <v>1110</v>
      </c>
      <c r="P208" s="309">
        <v>40</v>
      </c>
      <c r="Q208" s="60" t="s">
        <v>456</v>
      </c>
      <c r="R208" s="309">
        <v>5024</v>
      </c>
      <c r="S208" s="60" t="s">
        <v>155</v>
      </c>
      <c r="T208" s="61">
        <v>190</v>
      </c>
      <c r="U208" s="60" t="s">
        <v>503</v>
      </c>
      <c r="V208" s="1">
        <v>3</v>
      </c>
      <c r="W208" s="1" t="s">
        <v>20</v>
      </c>
      <c r="X208" s="1" t="s">
        <v>1146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-6734.28</v>
      </c>
      <c r="AI208" s="2">
        <v>-13236</v>
      </c>
      <c r="AJ208" s="2">
        <v>-31545.6</v>
      </c>
      <c r="AK208" s="2">
        <v>-19973.91</v>
      </c>
      <c r="AL208" s="2">
        <v>-19676</v>
      </c>
      <c r="AM208" s="2">
        <v>-18971.2</v>
      </c>
      <c r="AN208" s="2">
        <v>-43212</v>
      </c>
      <c r="AO208" s="2">
        <v>-23112</v>
      </c>
      <c r="AP208" s="2">
        <v>-39360.8</v>
      </c>
      <c r="AQ208" s="2">
        <v>-29604</v>
      </c>
      <c r="AR208" s="2">
        <v>-19440</v>
      </c>
      <c r="AS208" s="2">
        <v>-16362.4</v>
      </c>
      <c r="AT208" s="2">
        <v>-15066.4</v>
      </c>
      <c r="AU208" s="2">
        <v>-15684</v>
      </c>
      <c r="AV208" s="2">
        <v>-33126.4</v>
      </c>
      <c r="AW208" s="1">
        <v>204</v>
      </c>
    </row>
    <row r="209" spans="1:49" ht="12.75">
      <c r="A209" s="5">
        <v>3010</v>
      </c>
      <c r="B209" s="2" t="s">
        <v>844</v>
      </c>
      <c r="C209" s="305">
        <v>-71.2</v>
      </c>
      <c r="D209" s="305">
        <v>0</v>
      </c>
      <c r="E209" s="305">
        <v>-10331.2</v>
      </c>
      <c r="F209" s="305">
        <v>-5417.6</v>
      </c>
      <c r="G209" s="305">
        <v>0</v>
      </c>
      <c r="H209" s="305">
        <v>-16412.8</v>
      </c>
      <c r="I209" s="305">
        <v>0</v>
      </c>
      <c r="J209" s="1" t="s">
        <v>754</v>
      </c>
      <c r="K209" s="3" t="s">
        <v>982</v>
      </c>
      <c r="L209" s="365"/>
      <c r="M209" s="2">
        <v>-5417.6</v>
      </c>
      <c r="N209" s="311">
        <v>310</v>
      </c>
      <c r="O209" s="310" t="s">
        <v>1110</v>
      </c>
      <c r="P209" s="309">
        <v>40</v>
      </c>
      <c r="Q209" s="60" t="s">
        <v>456</v>
      </c>
      <c r="R209" s="309">
        <v>5024</v>
      </c>
      <c r="S209" s="60" t="s">
        <v>155</v>
      </c>
      <c r="T209" s="61">
        <v>190</v>
      </c>
      <c r="U209" s="60" t="s">
        <v>503</v>
      </c>
      <c r="V209" s="1">
        <v>3</v>
      </c>
      <c r="W209" s="1" t="s">
        <v>20</v>
      </c>
      <c r="X209" s="1" t="s">
        <v>1145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-1639.2</v>
      </c>
      <c r="AI209" s="2">
        <v>-4442.4</v>
      </c>
      <c r="AJ209" s="2">
        <v>-10331.2</v>
      </c>
      <c r="AK209" s="2">
        <v>-3693.6</v>
      </c>
      <c r="AL209" s="2">
        <v>-71.2</v>
      </c>
      <c r="AM209" s="2">
        <v>-205.6</v>
      </c>
      <c r="AN209" s="2">
        <v>-482.4</v>
      </c>
      <c r="AO209" s="2">
        <v>-340</v>
      </c>
      <c r="AP209" s="2">
        <v>-284.8</v>
      </c>
      <c r="AQ209" s="2">
        <v>-71.2</v>
      </c>
      <c r="AR209" s="2">
        <v>-126.4</v>
      </c>
      <c r="AS209" s="2">
        <v>-71.2</v>
      </c>
      <c r="AT209" s="2">
        <v>0</v>
      </c>
      <c r="AU209" s="2">
        <v>0</v>
      </c>
      <c r="AV209" s="2">
        <v>-71.2</v>
      </c>
      <c r="AW209" s="1">
        <v>205</v>
      </c>
    </row>
    <row r="210" spans="1:49" ht="12.75">
      <c r="A210" s="5">
        <v>3010</v>
      </c>
      <c r="B210" s="2" t="s">
        <v>845</v>
      </c>
      <c r="C210" s="305">
        <v>-32844.78</v>
      </c>
      <c r="D210" s="305">
        <v>0</v>
      </c>
      <c r="E210" s="305">
        <v>-32260.47</v>
      </c>
      <c r="F210" s="305">
        <v>-184422.96</v>
      </c>
      <c r="G210" s="305">
        <v>0</v>
      </c>
      <c r="H210" s="305">
        <v>-64396.31</v>
      </c>
      <c r="I210" s="305">
        <v>0</v>
      </c>
      <c r="J210" s="1" t="s">
        <v>758</v>
      </c>
      <c r="K210" s="3" t="s">
        <v>982</v>
      </c>
      <c r="L210" s="365"/>
      <c r="M210" s="2">
        <v>-184422.96</v>
      </c>
      <c r="N210" s="311">
        <v>310</v>
      </c>
      <c r="O210" s="310" t="s">
        <v>1110</v>
      </c>
      <c r="P210" s="309">
        <v>40</v>
      </c>
      <c r="Q210" s="60" t="s">
        <v>456</v>
      </c>
      <c r="R210" s="309">
        <v>5024</v>
      </c>
      <c r="S210" s="60" t="s">
        <v>155</v>
      </c>
      <c r="T210" s="61">
        <v>200</v>
      </c>
      <c r="U210" s="60" t="s">
        <v>499</v>
      </c>
      <c r="V210" s="1">
        <v>3</v>
      </c>
      <c r="W210" s="1" t="s">
        <v>20</v>
      </c>
      <c r="X210" s="1" t="s">
        <v>1147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-12795.55</v>
      </c>
      <c r="AI210" s="2">
        <v>-19340.29</v>
      </c>
      <c r="AJ210" s="2">
        <v>-32260.47</v>
      </c>
      <c r="AK210" s="2">
        <v>-24893.97</v>
      </c>
      <c r="AL210" s="2">
        <v>-19418.25</v>
      </c>
      <c r="AM210" s="2">
        <v>-18440.33</v>
      </c>
      <c r="AN210" s="2">
        <v>-11936.53</v>
      </c>
      <c r="AO210" s="2">
        <v>-11650.59</v>
      </c>
      <c r="AP210" s="2">
        <v>-13018.95</v>
      </c>
      <c r="AQ210" s="2">
        <v>-11736.79</v>
      </c>
      <c r="AR210" s="2">
        <v>-9346.8</v>
      </c>
      <c r="AS210" s="2">
        <v>-11648.28</v>
      </c>
      <c r="AT210" s="2">
        <v>-6415.66</v>
      </c>
      <c r="AU210" s="2">
        <v>-13072.03</v>
      </c>
      <c r="AV210" s="2">
        <v>-32844.78</v>
      </c>
      <c r="AW210" s="1">
        <v>206</v>
      </c>
    </row>
    <row r="211" spans="1:49" ht="12.75">
      <c r="A211" s="5">
        <v>3010</v>
      </c>
      <c r="B211" s="2" t="s">
        <v>846</v>
      </c>
      <c r="C211" s="305">
        <v>-5549.6</v>
      </c>
      <c r="D211" s="305">
        <v>0</v>
      </c>
      <c r="E211" s="305">
        <v>-2714.4</v>
      </c>
      <c r="F211" s="305">
        <v>-49963.2</v>
      </c>
      <c r="G211" s="305">
        <v>0</v>
      </c>
      <c r="H211" s="305">
        <v>-8056</v>
      </c>
      <c r="I211" s="305">
        <v>0</v>
      </c>
      <c r="J211" s="1" t="s">
        <v>760</v>
      </c>
      <c r="K211" s="3" t="s">
        <v>982</v>
      </c>
      <c r="L211" s="365"/>
      <c r="M211" s="2">
        <v>-49963.2</v>
      </c>
      <c r="N211" s="311">
        <v>310</v>
      </c>
      <c r="O211" s="310" t="s">
        <v>1110</v>
      </c>
      <c r="P211" s="309">
        <v>40</v>
      </c>
      <c r="Q211" s="60" t="s">
        <v>456</v>
      </c>
      <c r="R211" s="309">
        <v>5024</v>
      </c>
      <c r="S211" s="60" t="s">
        <v>155</v>
      </c>
      <c r="T211" s="61">
        <v>200</v>
      </c>
      <c r="U211" s="60" t="s">
        <v>499</v>
      </c>
      <c r="V211" s="1">
        <v>3</v>
      </c>
      <c r="W211" s="1" t="s">
        <v>20</v>
      </c>
      <c r="X211" s="1" t="s">
        <v>1148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-3000.8</v>
      </c>
      <c r="AI211" s="2">
        <v>-2340.8</v>
      </c>
      <c r="AJ211" s="2">
        <v>-2714.4</v>
      </c>
      <c r="AK211" s="2">
        <v>-2103.2</v>
      </c>
      <c r="AL211" s="2">
        <v>-2541.6</v>
      </c>
      <c r="AM211" s="2">
        <v>-3003.2</v>
      </c>
      <c r="AN211" s="2">
        <v>-6162.4</v>
      </c>
      <c r="AO211" s="2">
        <v>-4304</v>
      </c>
      <c r="AP211" s="2">
        <v>-4017.6</v>
      </c>
      <c r="AQ211" s="2">
        <v>-3060.8</v>
      </c>
      <c r="AR211" s="2">
        <v>-3156.8</v>
      </c>
      <c r="AS211" s="2">
        <v>-6632</v>
      </c>
      <c r="AT211" s="2">
        <v>-4320.8</v>
      </c>
      <c r="AU211" s="2">
        <v>-5111.2</v>
      </c>
      <c r="AV211" s="2">
        <v>-5549.6</v>
      </c>
      <c r="AW211" s="1">
        <v>207</v>
      </c>
    </row>
    <row r="212" spans="1:49" ht="12.75">
      <c r="A212" s="5">
        <v>3010</v>
      </c>
      <c r="B212" s="2" t="s">
        <v>847</v>
      </c>
      <c r="C212" s="305">
        <v>-24749.44</v>
      </c>
      <c r="D212" s="305">
        <v>0</v>
      </c>
      <c r="E212" s="305">
        <v>-13378.4</v>
      </c>
      <c r="F212" s="305">
        <v>-335016.65</v>
      </c>
      <c r="G212" s="305">
        <v>0</v>
      </c>
      <c r="H212" s="305">
        <v>-37479.2</v>
      </c>
      <c r="I212" s="305">
        <v>0</v>
      </c>
      <c r="J212" s="1" t="s">
        <v>762</v>
      </c>
      <c r="K212" s="3" t="s">
        <v>982</v>
      </c>
      <c r="L212" s="365"/>
      <c r="M212" s="2">
        <v>-335016.65</v>
      </c>
      <c r="N212" s="311">
        <v>310</v>
      </c>
      <c r="O212" s="310" t="s">
        <v>1110</v>
      </c>
      <c r="P212" s="309">
        <v>40</v>
      </c>
      <c r="Q212" s="60" t="s">
        <v>456</v>
      </c>
      <c r="R212" s="309">
        <v>5024</v>
      </c>
      <c r="S212" s="60" t="s">
        <v>155</v>
      </c>
      <c r="T212" s="61">
        <v>200</v>
      </c>
      <c r="U212" s="60" t="s">
        <v>499</v>
      </c>
      <c r="V212" s="1">
        <v>3</v>
      </c>
      <c r="W212" s="1" t="s">
        <v>20</v>
      </c>
      <c r="X212" s="1" t="s">
        <v>1148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-16183.2</v>
      </c>
      <c r="AI212" s="2">
        <v>-7917.6</v>
      </c>
      <c r="AJ212" s="2">
        <v>-13378.4</v>
      </c>
      <c r="AK212" s="2">
        <v>-25500.01</v>
      </c>
      <c r="AL212" s="2">
        <v>-39580.8</v>
      </c>
      <c r="AM212" s="2">
        <v>-38639.2</v>
      </c>
      <c r="AN212" s="2">
        <v>-10971.84</v>
      </c>
      <c r="AO212" s="2">
        <v>-35820</v>
      </c>
      <c r="AP212" s="2">
        <v>-51647.84</v>
      </c>
      <c r="AQ212" s="2">
        <v>-21463.04</v>
      </c>
      <c r="AR212" s="2">
        <v>-26124</v>
      </c>
      <c r="AS212" s="2">
        <v>-23360</v>
      </c>
      <c r="AT212" s="2">
        <v>-16026.16</v>
      </c>
      <c r="AU212" s="2">
        <v>-21134.32</v>
      </c>
      <c r="AV212" s="2">
        <v>-24749.44</v>
      </c>
      <c r="AW212" s="1">
        <v>208</v>
      </c>
    </row>
    <row r="213" spans="1:49" ht="12.75">
      <c r="A213" s="5">
        <v>3010</v>
      </c>
      <c r="B213" s="2" t="s">
        <v>848</v>
      </c>
      <c r="C213" s="305">
        <v>-11688</v>
      </c>
      <c r="D213" s="305">
        <v>0</v>
      </c>
      <c r="E213" s="305">
        <v>-12332.8</v>
      </c>
      <c r="F213" s="305">
        <v>-216909</v>
      </c>
      <c r="G213" s="305">
        <v>0</v>
      </c>
      <c r="H213" s="305">
        <v>-31355.2</v>
      </c>
      <c r="I213" s="305">
        <v>0</v>
      </c>
      <c r="J213" s="1" t="s">
        <v>764</v>
      </c>
      <c r="K213" s="3" t="s">
        <v>982</v>
      </c>
      <c r="L213" s="365"/>
      <c r="M213" s="2">
        <v>-216909</v>
      </c>
      <c r="N213" s="311">
        <v>310</v>
      </c>
      <c r="O213" s="310" t="s">
        <v>1110</v>
      </c>
      <c r="P213" s="309">
        <v>40</v>
      </c>
      <c r="Q213" s="60" t="s">
        <v>456</v>
      </c>
      <c r="R213" s="309">
        <v>2001</v>
      </c>
      <c r="S213" s="60" t="s">
        <v>203</v>
      </c>
      <c r="T213" s="61">
        <v>200</v>
      </c>
      <c r="U213" s="60" t="s">
        <v>499</v>
      </c>
      <c r="V213" s="1">
        <v>3</v>
      </c>
      <c r="W213" s="1" t="s">
        <v>20</v>
      </c>
      <c r="X213" s="1" t="s">
        <v>1149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-12096.8</v>
      </c>
      <c r="AI213" s="2">
        <v>-6925.6</v>
      </c>
      <c r="AJ213" s="2">
        <v>-12332.8</v>
      </c>
      <c r="AK213" s="2">
        <v>-16760</v>
      </c>
      <c r="AL213" s="2">
        <v>-26210.4</v>
      </c>
      <c r="AM213" s="2">
        <v>-14005.6</v>
      </c>
      <c r="AN213" s="2">
        <v>-7983.4</v>
      </c>
      <c r="AO213" s="2">
        <v>-19922.4</v>
      </c>
      <c r="AP213" s="2">
        <v>-35191.2</v>
      </c>
      <c r="AQ213" s="2">
        <v>-17864</v>
      </c>
      <c r="AR213" s="2">
        <v>-28100</v>
      </c>
      <c r="AS213" s="2">
        <v>-17068.8</v>
      </c>
      <c r="AT213" s="2">
        <v>-12927.2</v>
      </c>
      <c r="AU213" s="2">
        <v>-9188</v>
      </c>
      <c r="AV213" s="2">
        <v>-11688</v>
      </c>
      <c r="AW213" s="1">
        <v>209</v>
      </c>
    </row>
    <row r="214" spans="1:49" ht="12.75">
      <c r="A214" s="5">
        <v>3010</v>
      </c>
      <c r="B214" s="2" t="s">
        <v>849</v>
      </c>
      <c r="C214" s="305">
        <v>-38823.2</v>
      </c>
      <c r="D214" s="305">
        <v>0</v>
      </c>
      <c r="E214" s="305">
        <v>-53912.8</v>
      </c>
      <c r="F214" s="305">
        <v>-429495.6</v>
      </c>
      <c r="G214" s="305">
        <v>0</v>
      </c>
      <c r="H214" s="305">
        <v>-252286.4</v>
      </c>
      <c r="I214" s="305">
        <v>0</v>
      </c>
      <c r="J214" s="1" t="s">
        <v>766</v>
      </c>
      <c r="K214" s="3" t="s">
        <v>982</v>
      </c>
      <c r="L214" s="365"/>
      <c r="M214" s="2">
        <v>-429495.6</v>
      </c>
      <c r="N214" s="311">
        <v>310</v>
      </c>
      <c r="O214" s="310" t="s">
        <v>1110</v>
      </c>
      <c r="P214" s="309">
        <v>40</v>
      </c>
      <c r="Q214" s="60" t="s">
        <v>456</v>
      </c>
      <c r="R214" s="309">
        <v>5014</v>
      </c>
      <c r="S214" s="60" t="s">
        <v>211</v>
      </c>
      <c r="T214" s="61">
        <v>200</v>
      </c>
      <c r="U214" s="60" t="s">
        <v>499</v>
      </c>
      <c r="V214" s="1">
        <v>3</v>
      </c>
      <c r="W214" s="1" t="s">
        <v>20</v>
      </c>
      <c r="X214" s="1" t="s">
        <v>1134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-94337.6</v>
      </c>
      <c r="AI214" s="2">
        <v>-104036</v>
      </c>
      <c r="AJ214" s="2">
        <v>-53912.8</v>
      </c>
      <c r="AK214" s="2">
        <v>-16445.6</v>
      </c>
      <c r="AL214" s="2">
        <v>-19137.6</v>
      </c>
      <c r="AM214" s="2">
        <v>-30708</v>
      </c>
      <c r="AN214" s="2">
        <v>-72344</v>
      </c>
      <c r="AO214" s="2">
        <v>-49565.6</v>
      </c>
      <c r="AP214" s="2">
        <v>-29779.2</v>
      </c>
      <c r="AQ214" s="2">
        <v>-14544</v>
      </c>
      <c r="AR214" s="2">
        <v>-15824</v>
      </c>
      <c r="AS214" s="2">
        <v>-15489.6</v>
      </c>
      <c r="AT214" s="2">
        <v>-44818.8</v>
      </c>
      <c r="AU214" s="2">
        <v>-82016</v>
      </c>
      <c r="AV214" s="2">
        <v>-38823.2</v>
      </c>
      <c r="AW214" s="1">
        <v>210</v>
      </c>
    </row>
    <row r="215" spans="1:49" ht="12.75">
      <c r="A215" s="5">
        <v>3010</v>
      </c>
      <c r="B215" s="2" t="s">
        <v>1150</v>
      </c>
      <c r="C215" s="305">
        <v>-14560</v>
      </c>
      <c r="D215" s="305">
        <v>0</v>
      </c>
      <c r="E215" s="305">
        <v>0</v>
      </c>
      <c r="F215" s="305">
        <v>-164625.2</v>
      </c>
      <c r="G215" s="305">
        <v>0</v>
      </c>
      <c r="H215" s="305">
        <v>0</v>
      </c>
      <c r="I215" s="305">
        <v>0</v>
      </c>
      <c r="J215" s="1" t="s">
        <v>1035</v>
      </c>
      <c r="K215" s="3" t="s">
        <v>982</v>
      </c>
      <c r="L215" s="365"/>
      <c r="M215" s="2">
        <v>-164625.2</v>
      </c>
      <c r="N215" s="311">
        <v>310</v>
      </c>
      <c r="O215" s="310" t="s">
        <v>1110</v>
      </c>
      <c r="P215" s="309">
        <v>40</v>
      </c>
      <c r="Q215" s="60" t="s">
        <v>456</v>
      </c>
      <c r="R215" s="309">
        <v>5014</v>
      </c>
      <c r="S215" s="60" t="s">
        <v>211</v>
      </c>
      <c r="T215" s="61">
        <v>200</v>
      </c>
      <c r="U215" s="60" t="s">
        <v>499</v>
      </c>
      <c r="V215" s="1">
        <v>3</v>
      </c>
      <c r="W215" s="1" t="s">
        <v>20</v>
      </c>
      <c r="X215" s="1" t="s">
        <v>1134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-30000</v>
      </c>
      <c r="AO215" s="2">
        <v>-24240</v>
      </c>
      <c r="AP215" s="2">
        <v>-26240</v>
      </c>
      <c r="AQ215" s="2">
        <v>-9200</v>
      </c>
      <c r="AR215" s="2">
        <v>-15585.2</v>
      </c>
      <c r="AS215" s="2">
        <v>-12080</v>
      </c>
      <c r="AT215" s="2">
        <v>-18320</v>
      </c>
      <c r="AU215" s="2">
        <v>-14400</v>
      </c>
      <c r="AV215" s="2">
        <v>-14560</v>
      </c>
      <c r="AW215" s="1">
        <v>211</v>
      </c>
    </row>
    <row r="216" spans="1:49" ht="12.75">
      <c r="A216" s="5">
        <v>3010</v>
      </c>
      <c r="B216" s="2" t="s">
        <v>1151</v>
      </c>
      <c r="C216" s="305">
        <v>0</v>
      </c>
      <c r="D216" s="305">
        <v>0</v>
      </c>
      <c r="E216" s="305">
        <v>0</v>
      </c>
      <c r="F216" s="305">
        <v>0</v>
      </c>
      <c r="G216" s="305">
        <v>0</v>
      </c>
      <c r="H216" s="305">
        <v>-17983.92</v>
      </c>
      <c r="I216" s="305">
        <v>0</v>
      </c>
      <c r="J216" s="1" t="s">
        <v>768</v>
      </c>
      <c r="K216" s="3" t="s">
        <v>982</v>
      </c>
      <c r="L216" s="365"/>
      <c r="M216" s="2">
        <v>0</v>
      </c>
      <c r="N216" s="311">
        <v>310</v>
      </c>
      <c r="O216" s="310" t="s">
        <v>1110</v>
      </c>
      <c r="P216" s="309">
        <v>40</v>
      </c>
      <c r="Q216" s="60" t="s">
        <v>456</v>
      </c>
      <c r="R216" s="309">
        <v>5020</v>
      </c>
      <c r="S216" s="60" t="s">
        <v>205</v>
      </c>
      <c r="T216" s="61">
        <v>170</v>
      </c>
      <c r="U216" s="60" t="s">
        <v>501</v>
      </c>
      <c r="V216" s="1">
        <v>3</v>
      </c>
      <c r="W216" s="1" t="s">
        <v>20</v>
      </c>
      <c r="X216" s="1" t="s">
        <v>1139</v>
      </c>
      <c r="Y216" s="2">
        <v>0</v>
      </c>
      <c r="Z216" s="2">
        <v>0</v>
      </c>
      <c r="AA216" s="2">
        <v>0</v>
      </c>
      <c r="AB216" s="2">
        <v>0</v>
      </c>
      <c r="AC216" s="2">
        <v>-11.92</v>
      </c>
      <c r="AD216" s="2">
        <v>-4</v>
      </c>
      <c r="AE216" s="2">
        <v>0</v>
      </c>
      <c r="AF216" s="2">
        <v>-3808</v>
      </c>
      <c r="AG216" s="2">
        <v>-14160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1">
        <v>212</v>
      </c>
    </row>
    <row r="217" spans="1:49" ht="12.75">
      <c r="A217" s="5">
        <v>3010</v>
      </c>
      <c r="B217" s="2" t="s">
        <v>261</v>
      </c>
      <c r="C217" s="305">
        <v>0</v>
      </c>
      <c r="D217" s="305">
        <v>0</v>
      </c>
      <c r="E217" s="305">
        <v>0</v>
      </c>
      <c r="F217" s="305">
        <v>0</v>
      </c>
      <c r="G217" s="305">
        <v>0</v>
      </c>
      <c r="H217" s="305">
        <v>-36246.4</v>
      </c>
      <c r="I217" s="305">
        <v>0</v>
      </c>
      <c r="J217" s="1" t="s">
        <v>769</v>
      </c>
      <c r="K217" s="3" t="s">
        <v>982</v>
      </c>
      <c r="L217" s="365"/>
      <c r="M217" s="2">
        <v>0</v>
      </c>
      <c r="N217" s="311">
        <v>310</v>
      </c>
      <c r="O217" s="310" t="s">
        <v>1110</v>
      </c>
      <c r="P217" s="309">
        <v>40</v>
      </c>
      <c r="Q217" s="60" t="s">
        <v>456</v>
      </c>
      <c r="R217" s="309">
        <v>2001</v>
      </c>
      <c r="S217" s="60" t="s">
        <v>203</v>
      </c>
      <c r="T217" s="61">
        <v>200</v>
      </c>
      <c r="U217" s="60" t="s">
        <v>499</v>
      </c>
      <c r="V217" s="1">
        <v>3</v>
      </c>
      <c r="W217" s="1" t="s">
        <v>20</v>
      </c>
      <c r="X217" s="1" t="s">
        <v>1152</v>
      </c>
      <c r="Y217" s="2">
        <v>-2447.2</v>
      </c>
      <c r="Z217" s="2">
        <v>-5922.4</v>
      </c>
      <c r="AA217" s="2">
        <v>-3592.8</v>
      </c>
      <c r="AB217" s="2">
        <v>-4444</v>
      </c>
      <c r="AC217" s="2">
        <v>-4499.6</v>
      </c>
      <c r="AD217" s="2">
        <v>-4972.8</v>
      </c>
      <c r="AE217" s="2">
        <v>-7748.8</v>
      </c>
      <c r="AF217" s="2">
        <v>-2618.8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1">
        <v>213</v>
      </c>
    </row>
    <row r="218" spans="1:49" ht="12.75">
      <c r="A218" s="5">
        <v>3010</v>
      </c>
      <c r="B218" s="2" t="s">
        <v>355</v>
      </c>
      <c r="C218" s="305">
        <v>0</v>
      </c>
      <c r="D218" s="305">
        <v>0</v>
      </c>
      <c r="E218" s="305">
        <v>0</v>
      </c>
      <c r="F218" s="305">
        <v>0</v>
      </c>
      <c r="G218" s="305">
        <v>0</v>
      </c>
      <c r="H218" s="305">
        <v>-56760</v>
      </c>
      <c r="I218" s="305">
        <v>0</v>
      </c>
      <c r="J218" s="1" t="s">
        <v>770</v>
      </c>
      <c r="K218" s="3" t="s">
        <v>982</v>
      </c>
      <c r="L218" s="365"/>
      <c r="M218" s="2">
        <v>0</v>
      </c>
      <c r="N218" s="311">
        <v>310</v>
      </c>
      <c r="O218" s="310" t="s">
        <v>1110</v>
      </c>
      <c r="P218" s="309">
        <v>40</v>
      </c>
      <c r="Q218" s="60" t="s">
        <v>456</v>
      </c>
      <c r="R218" s="309">
        <v>2001</v>
      </c>
      <c r="S218" s="60" t="s">
        <v>203</v>
      </c>
      <c r="T218" s="61">
        <v>200</v>
      </c>
      <c r="U218" s="60" t="s">
        <v>499</v>
      </c>
      <c r="V218" s="1">
        <v>3</v>
      </c>
      <c r="W218" s="1" t="s">
        <v>20</v>
      </c>
      <c r="X218" s="1" t="s">
        <v>1149</v>
      </c>
      <c r="Y218" s="2">
        <v>-865.6</v>
      </c>
      <c r="Z218" s="2">
        <v>-975.2</v>
      </c>
      <c r="AA218" s="2">
        <v>-2486.4</v>
      </c>
      <c r="AB218" s="2">
        <v>-1972.8</v>
      </c>
      <c r="AC218" s="2">
        <v>-4824.8</v>
      </c>
      <c r="AD218" s="2">
        <v>-3392</v>
      </c>
      <c r="AE218" s="2">
        <v>-6252</v>
      </c>
      <c r="AF218" s="2">
        <v>-9243.2</v>
      </c>
      <c r="AG218" s="2">
        <v>-26748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</v>
      </c>
      <c r="AW218" s="1">
        <v>214</v>
      </c>
    </row>
    <row r="219" spans="1:49" ht="12.75">
      <c r="A219" s="5">
        <v>3010</v>
      </c>
      <c r="B219" s="2" t="s">
        <v>1153</v>
      </c>
      <c r="C219" s="305">
        <v>0</v>
      </c>
      <c r="D219" s="305">
        <v>0</v>
      </c>
      <c r="E219" s="305">
        <v>0</v>
      </c>
      <c r="F219" s="305">
        <v>0</v>
      </c>
      <c r="G219" s="305">
        <v>0</v>
      </c>
      <c r="H219" s="305">
        <v>-479.2</v>
      </c>
      <c r="I219" s="305">
        <v>0</v>
      </c>
      <c r="J219" s="1" t="s">
        <v>1044</v>
      </c>
      <c r="K219" s="3" t="s">
        <v>982</v>
      </c>
      <c r="L219" s="365"/>
      <c r="M219" s="2">
        <v>0</v>
      </c>
      <c r="N219" s="311">
        <v>310</v>
      </c>
      <c r="O219" s="310" t="s">
        <v>1110</v>
      </c>
      <c r="P219" s="309">
        <v>40</v>
      </c>
      <c r="Q219" s="60" t="s">
        <v>456</v>
      </c>
      <c r="R219" s="309">
        <v>2001</v>
      </c>
      <c r="S219" s="60" t="s">
        <v>203</v>
      </c>
      <c r="T219" s="61">
        <v>200</v>
      </c>
      <c r="U219" s="60" t="s">
        <v>499</v>
      </c>
      <c r="V219" s="1">
        <v>3</v>
      </c>
      <c r="W219" s="1" t="s">
        <v>20</v>
      </c>
      <c r="X219" s="1" t="s">
        <v>1154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-479.2</v>
      </c>
      <c r="AF219" s="2">
        <v>0</v>
      </c>
      <c r="AG219" s="2">
        <v>0</v>
      </c>
      <c r="AH219" s="2">
        <v>0</v>
      </c>
      <c r="AI219" s="2">
        <v>0</v>
      </c>
      <c r="AJ219" s="2">
        <v>0</v>
      </c>
      <c r="AK219" s="2">
        <v>0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0</v>
      </c>
      <c r="AV219" s="2">
        <v>0</v>
      </c>
      <c r="AW219" s="1">
        <v>215</v>
      </c>
    </row>
    <row r="220" spans="1:49" ht="12.75">
      <c r="A220" s="5">
        <v>3010</v>
      </c>
      <c r="B220" s="2" t="s">
        <v>262</v>
      </c>
      <c r="C220" s="305">
        <v>0</v>
      </c>
      <c r="D220" s="305">
        <v>0</v>
      </c>
      <c r="E220" s="305">
        <v>0</v>
      </c>
      <c r="F220" s="305">
        <v>0</v>
      </c>
      <c r="G220" s="305">
        <v>0</v>
      </c>
      <c r="H220" s="305">
        <v>-2554.4</v>
      </c>
      <c r="I220" s="305">
        <v>0</v>
      </c>
      <c r="J220" s="1" t="s">
        <v>771</v>
      </c>
      <c r="K220" s="3" t="s">
        <v>982</v>
      </c>
      <c r="L220" s="365"/>
      <c r="M220" s="2">
        <v>0</v>
      </c>
      <c r="N220" s="311">
        <v>310</v>
      </c>
      <c r="O220" s="310" t="s">
        <v>1110</v>
      </c>
      <c r="P220" s="309">
        <v>40</v>
      </c>
      <c r="Q220" s="60" t="s">
        <v>456</v>
      </c>
      <c r="R220" s="309">
        <v>2001</v>
      </c>
      <c r="S220" s="60" t="s">
        <v>203</v>
      </c>
      <c r="T220" s="61">
        <v>200</v>
      </c>
      <c r="U220" s="60" t="s">
        <v>499</v>
      </c>
      <c r="V220" s="1">
        <v>3</v>
      </c>
      <c r="W220" s="1" t="s">
        <v>20</v>
      </c>
      <c r="X220" s="1" t="s">
        <v>1155</v>
      </c>
      <c r="Y220" s="2">
        <v>0</v>
      </c>
      <c r="Z220" s="2">
        <v>-270.4</v>
      </c>
      <c r="AA220" s="2">
        <v>-405.6</v>
      </c>
      <c r="AB220" s="2">
        <v>-135.2</v>
      </c>
      <c r="AC220" s="2">
        <v>-748</v>
      </c>
      <c r="AD220" s="2">
        <v>-517.6</v>
      </c>
      <c r="AE220" s="2">
        <v>-318.4</v>
      </c>
      <c r="AF220" s="2">
        <v>-159.2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1">
        <v>216</v>
      </c>
    </row>
    <row r="221" spans="1:49" ht="12.75">
      <c r="A221" s="5">
        <v>3010</v>
      </c>
      <c r="B221" s="2" t="s">
        <v>414</v>
      </c>
      <c r="C221" s="305">
        <v>0</v>
      </c>
      <c r="D221" s="305">
        <v>0</v>
      </c>
      <c r="E221" s="305">
        <v>0</v>
      </c>
      <c r="F221" s="305">
        <v>0</v>
      </c>
      <c r="G221" s="305">
        <v>0</v>
      </c>
      <c r="H221" s="305">
        <v>-1040</v>
      </c>
      <c r="I221" s="305">
        <v>0</v>
      </c>
      <c r="J221" s="1" t="s">
        <v>772</v>
      </c>
      <c r="K221" s="3" t="s">
        <v>982</v>
      </c>
      <c r="L221" s="365"/>
      <c r="M221" s="2">
        <v>0</v>
      </c>
      <c r="N221" s="311">
        <v>310</v>
      </c>
      <c r="O221" s="310" t="s">
        <v>1110</v>
      </c>
      <c r="P221" s="309">
        <v>40</v>
      </c>
      <c r="Q221" s="60" t="s">
        <v>456</v>
      </c>
      <c r="R221" s="309">
        <v>5021</v>
      </c>
      <c r="S221" s="60" t="s">
        <v>201</v>
      </c>
      <c r="T221" s="61">
        <v>130</v>
      </c>
      <c r="U221" s="60" t="s">
        <v>502</v>
      </c>
      <c r="V221" s="1">
        <v>3</v>
      </c>
      <c r="W221" s="1" t="s">
        <v>20</v>
      </c>
      <c r="X221" s="1" t="s">
        <v>1156</v>
      </c>
      <c r="Y221" s="2">
        <v>-240</v>
      </c>
      <c r="Z221" s="2">
        <v>-80</v>
      </c>
      <c r="AA221" s="2">
        <v>-160</v>
      </c>
      <c r="AB221" s="2">
        <v>-80</v>
      </c>
      <c r="AC221" s="2">
        <v>-80</v>
      </c>
      <c r="AD221" s="2">
        <v>-80</v>
      </c>
      <c r="AE221" s="2">
        <v>-320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1">
        <v>217</v>
      </c>
    </row>
    <row r="222" spans="1:49" ht="12.75">
      <c r="A222" s="5">
        <v>3010</v>
      </c>
      <c r="B222" s="2" t="s">
        <v>850</v>
      </c>
      <c r="C222" s="305">
        <v>-66182.8</v>
      </c>
      <c r="D222" s="305">
        <v>0</v>
      </c>
      <c r="E222" s="305">
        <v>-104068.8</v>
      </c>
      <c r="F222" s="305">
        <v>-709668.4</v>
      </c>
      <c r="G222" s="305">
        <v>0</v>
      </c>
      <c r="H222" s="305">
        <v>-198596.8</v>
      </c>
      <c r="I222" s="305">
        <v>0</v>
      </c>
      <c r="J222" s="1" t="s">
        <v>774</v>
      </c>
      <c r="K222" s="3" t="s">
        <v>982</v>
      </c>
      <c r="L222" s="365"/>
      <c r="M222" s="2">
        <v>-709668.4</v>
      </c>
      <c r="N222" s="311">
        <v>310</v>
      </c>
      <c r="O222" s="310" t="s">
        <v>1110</v>
      </c>
      <c r="P222" s="309">
        <v>40</v>
      </c>
      <c r="Q222" s="60" t="s">
        <v>456</v>
      </c>
      <c r="R222" s="309">
        <v>5011</v>
      </c>
      <c r="S222" s="60" t="s">
        <v>209</v>
      </c>
      <c r="T222" s="61">
        <v>210</v>
      </c>
      <c r="U222" s="60" t="s">
        <v>500</v>
      </c>
      <c r="V222" s="1">
        <v>3</v>
      </c>
      <c r="W222" s="1" t="s">
        <v>20</v>
      </c>
      <c r="X222" s="1" t="s">
        <v>1117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-38455.2</v>
      </c>
      <c r="AI222" s="2">
        <v>-56072.8</v>
      </c>
      <c r="AJ222" s="2">
        <v>-104068.8</v>
      </c>
      <c r="AK222" s="2">
        <v>-59622.4</v>
      </c>
      <c r="AL222" s="2">
        <v>-51488.8</v>
      </c>
      <c r="AM222" s="2">
        <v>-118373.2</v>
      </c>
      <c r="AN222" s="2">
        <v>-92884.8</v>
      </c>
      <c r="AO222" s="2">
        <v>-55152.8</v>
      </c>
      <c r="AP222" s="2">
        <v>-34594.8</v>
      </c>
      <c r="AQ222" s="2">
        <v>-36570.4</v>
      </c>
      <c r="AR222" s="2">
        <v>-37546</v>
      </c>
      <c r="AS222" s="2">
        <v>-54460.8</v>
      </c>
      <c r="AT222" s="2">
        <v>-38191.2</v>
      </c>
      <c r="AU222" s="2">
        <v>-64600.4</v>
      </c>
      <c r="AV222" s="2">
        <v>-66182.8</v>
      </c>
      <c r="AW222" s="1">
        <v>218</v>
      </c>
    </row>
    <row r="223" spans="1:49" ht="12.75">
      <c r="A223" s="5">
        <v>3010</v>
      </c>
      <c r="B223" s="2" t="s">
        <v>851</v>
      </c>
      <c r="C223" s="305">
        <v>-15482.01</v>
      </c>
      <c r="D223" s="305">
        <v>0</v>
      </c>
      <c r="E223" s="305">
        <v>-36461.89</v>
      </c>
      <c r="F223" s="305">
        <v>-316716.77</v>
      </c>
      <c r="G223" s="305">
        <v>0</v>
      </c>
      <c r="H223" s="305">
        <v>-71642.91</v>
      </c>
      <c r="I223" s="305">
        <v>0</v>
      </c>
      <c r="J223" s="1" t="s">
        <v>776</v>
      </c>
      <c r="K223" s="3" t="s">
        <v>982</v>
      </c>
      <c r="L223" s="365"/>
      <c r="M223" s="2">
        <v>-316716.77</v>
      </c>
      <c r="N223" s="311">
        <v>310</v>
      </c>
      <c r="O223" s="310" t="s">
        <v>1110</v>
      </c>
      <c r="P223" s="309">
        <v>40</v>
      </c>
      <c r="Q223" s="60" t="s">
        <v>456</v>
      </c>
      <c r="R223" s="309">
        <v>5011</v>
      </c>
      <c r="S223" s="60" t="s">
        <v>209</v>
      </c>
      <c r="T223" s="61">
        <v>210</v>
      </c>
      <c r="U223" s="60" t="s">
        <v>500</v>
      </c>
      <c r="V223" s="1">
        <v>3</v>
      </c>
      <c r="W223" s="1" t="s">
        <v>20</v>
      </c>
      <c r="X223" s="1" t="s">
        <v>1117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-12046.27</v>
      </c>
      <c r="AI223" s="2">
        <v>-23134.75</v>
      </c>
      <c r="AJ223" s="2">
        <v>-36461.89</v>
      </c>
      <c r="AK223" s="2">
        <v>-34607.71</v>
      </c>
      <c r="AL223" s="2">
        <v>-32673.77</v>
      </c>
      <c r="AM223" s="2">
        <v>-46672.96</v>
      </c>
      <c r="AN223" s="2">
        <v>-46992.35</v>
      </c>
      <c r="AO223" s="2">
        <v>-22539.46</v>
      </c>
      <c r="AP223" s="2">
        <v>-20229.37</v>
      </c>
      <c r="AQ223" s="2">
        <v>-20908.18</v>
      </c>
      <c r="AR223" s="2">
        <v>-19791.04</v>
      </c>
      <c r="AS223" s="2">
        <v>-18993.09</v>
      </c>
      <c r="AT223" s="2">
        <v>-15322.18</v>
      </c>
      <c r="AU223" s="2">
        <v>-22504.65</v>
      </c>
      <c r="AV223" s="2">
        <v>-15482.01</v>
      </c>
      <c r="AW223" s="1">
        <v>219</v>
      </c>
    </row>
    <row r="224" spans="1:49" ht="12.75">
      <c r="A224" s="5">
        <v>3010</v>
      </c>
      <c r="B224" s="2" t="s">
        <v>852</v>
      </c>
      <c r="C224" s="305">
        <v>-1824</v>
      </c>
      <c r="D224" s="305">
        <v>0</v>
      </c>
      <c r="E224" s="305">
        <v>-16320</v>
      </c>
      <c r="F224" s="305">
        <v>-150973.6</v>
      </c>
      <c r="G224" s="305">
        <v>0</v>
      </c>
      <c r="H224" s="305">
        <v>-35888</v>
      </c>
      <c r="I224" s="305">
        <v>0</v>
      </c>
      <c r="J224" s="1" t="s">
        <v>778</v>
      </c>
      <c r="K224" s="3" t="s">
        <v>982</v>
      </c>
      <c r="L224" s="365"/>
      <c r="M224" s="2">
        <v>-150973.6</v>
      </c>
      <c r="N224" s="311">
        <v>310</v>
      </c>
      <c r="O224" s="310" t="s">
        <v>1110</v>
      </c>
      <c r="P224" s="309">
        <v>40</v>
      </c>
      <c r="Q224" s="60" t="s">
        <v>456</v>
      </c>
      <c r="R224" s="309">
        <v>5012</v>
      </c>
      <c r="S224" s="60" t="s">
        <v>212</v>
      </c>
      <c r="T224" s="61">
        <v>211</v>
      </c>
      <c r="U224" s="60" t="s">
        <v>506</v>
      </c>
      <c r="V224" s="1">
        <v>3</v>
      </c>
      <c r="W224" s="1" t="s">
        <v>20</v>
      </c>
      <c r="X224" s="1" t="s">
        <v>1116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-7148</v>
      </c>
      <c r="AI224" s="2">
        <v>-12420</v>
      </c>
      <c r="AJ224" s="2">
        <v>-16320</v>
      </c>
      <c r="AK224" s="2">
        <v>-17108</v>
      </c>
      <c r="AL224" s="2">
        <v>-9408</v>
      </c>
      <c r="AM224" s="2">
        <v>-25680</v>
      </c>
      <c r="AN224" s="2">
        <v>-20516</v>
      </c>
      <c r="AO224" s="2">
        <v>-13084</v>
      </c>
      <c r="AP224" s="2">
        <v>-10484</v>
      </c>
      <c r="AQ224" s="2">
        <v>-16705.6</v>
      </c>
      <c r="AR224" s="2">
        <v>-8956</v>
      </c>
      <c r="AS224" s="2">
        <v>-10632</v>
      </c>
      <c r="AT224" s="2">
        <v>-10320</v>
      </c>
      <c r="AU224" s="2">
        <v>-6256</v>
      </c>
      <c r="AV224" s="2">
        <v>-1824</v>
      </c>
      <c r="AW224" s="1">
        <v>220</v>
      </c>
    </row>
    <row r="225" spans="1:49" ht="12.75">
      <c r="A225" s="5">
        <v>3010</v>
      </c>
      <c r="B225" s="2" t="s">
        <v>263</v>
      </c>
      <c r="C225" s="305">
        <v>0</v>
      </c>
      <c r="D225" s="305">
        <v>0</v>
      </c>
      <c r="E225" s="305">
        <v>0</v>
      </c>
      <c r="F225" s="305">
        <v>0</v>
      </c>
      <c r="G225" s="305">
        <v>0</v>
      </c>
      <c r="H225" s="305">
        <v>-812456</v>
      </c>
      <c r="I225" s="305">
        <v>0</v>
      </c>
      <c r="J225" s="1" t="s">
        <v>781</v>
      </c>
      <c r="K225" s="3" t="s">
        <v>982</v>
      </c>
      <c r="L225" s="365"/>
      <c r="M225" s="2">
        <v>0</v>
      </c>
      <c r="N225" s="311">
        <v>310</v>
      </c>
      <c r="O225" s="310" t="s">
        <v>1110</v>
      </c>
      <c r="P225" s="309">
        <v>40</v>
      </c>
      <c r="Q225" s="60" t="s">
        <v>456</v>
      </c>
      <c r="R225" s="309">
        <v>5022</v>
      </c>
      <c r="S225" s="60" t="s">
        <v>202</v>
      </c>
      <c r="T225" s="61">
        <v>180</v>
      </c>
      <c r="U225" s="60" t="s">
        <v>385</v>
      </c>
      <c r="V225" s="1">
        <v>3</v>
      </c>
      <c r="W225" s="1" t="s">
        <v>20</v>
      </c>
      <c r="X225" s="1" t="s">
        <v>1141</v>
      </c>
      <c r="Y225" s="2">
        <v>-78768</v>
      </c>
      <c r="Z225" s="2">
        <v>-68083.2</v>
      </c>
      <c r="AA225" s="2">
        <v>-88861.6</v>
      </c>
      <c r="AB225" s="2">
        <v>-110208</v>
      </c>
      <c r="AC225" s="2">
        <v>-127447.2</v>
      </c>
      <c r="AD225" s="2">
        <v>-95791.2</v>
      </c>
      <c r="AE225" s="2">
        <v>-92360</v>
      </c>
      <c r="AF225" s="2">
        <v>-84336.8</v>
      </c>
      <c r="AG225" s="2">
        <v>-66600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0</v>
      </c>
      <c r="AV225" s="2">
        <v>0</v>
      </c>
      <c r="AW225" s="1">
        <v>221</v>
      </c>
    </row>
    <row r="226" spans="1:49" ht="12.75">
      <c r="A226" s="5">
        <v>3010</v>
      </c>
      <c r="B226" s="2" t="s">
        <v>264</v>
      </c>
      <c r="C226" s="305">
        <v>0</v>
      </c>
      <c r="D226" s="305">
        <v>0</v>
      </c>
      <c r="E226" s="305">
        <v>0</v>
      </c>
      <c r="F226" s="305">
        <v>0</v>
      </c>
      <c r="G226" s="305">
        <v>0</v>
      </c>
      <c r="H226" s="305">
        <v>-40580</v>
      </c>
      <c r="I226" s="305">
        <v>0</v>
      </c>
      <c r="J226" s="1" t="s">
        <v>782</v>
      </c>
      <c r="K226" s="3" t="s">
        <v>982</v>
      </c>
      <c r="L226" s="365"/>
      <c r="M226" s="2">
        <v>0</v>
      </c>
      <c r="N226" s="311">
        <v>310</v>
      </c>
      <c r="O226" s="310" t="s">
        <v>1110</v>
      </c>
      <c r="P226" s="309">
        <v>40</v>
      </c>
      <c r="Q226" s="60" t="s">
        <v>456</v>
      </c>
      <c r="R226" s="309">
        <v>5022</v>
      </c>
      <c r="S226" s="60" t="s">
        <v>202</v>
      </c>
      <c r="T226" s="61">
        <v>180</v>
      </c>
      <c r="U226" s="60" t="s">
        <v>385</v>
      </c>
      <c r="V226" s="1">
        <v>3</v>
      </c>
      <c r="W226" s="1" t="s">
        <v>20</v>
      </c>
      <c r="X226" s="1" t="s">
        <v>1143</v>
      </c>
      <c r="Y226" s="2">
        <v>-3348</v>
      </c>
      <c r="Z226" s="2">
        <v>-3510.4</v>
      </c>
      <c r="AA226" s="2">
        <v>-4570.4</v>
      </c>
      <c r="AB226" s="2">
        <v>-4512</v>
      </c>
      <c r="AC226" s="2">
        <v>-4746.4</v>
      </c>
      <c r="AD226" s="2">
        <v>-4788.8</v>
      </c>
      <c r="AE226" s="2">
        <v>-4011.2</v>
      </c>
      <c r="AF226" s="2">
        <v>-5350.4</v>
      </c>
      <c r="AG226" s="2">
        <v>-5742.4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0</v>
      </c>
      <c r="AV226" s="2">
        <v>0</v>
      </c>
      <c r="AW226" s="1">
        <v>222</v>
      </c>
    </row>
    <row r="227" spans="1:49" ht="12.75">
      <c r="A227" s="5">
        <v>3010</v>
      </c>
      <c r="B227" s="2" t="s">
        <v>265</v>
      </c>
      <c r="C227" s="305">
        <v>0</v>
      </c>
      <c r="D227" s="305">
        <v>0</v>
      </c>
      <c r="E227" s="305">
        <v>0</v>
      </c>
      <c r="F227" s="305">
        <v>0</v>
      </c>
      <c r="G227" s="305">
        <v>0</v>
      </c>
      <c r="H227" s="305">
        <v>-240124</v>
      </c>
      <c r="I227" s="305">
        <v>0</v>
      </c>
      <c r="J227" s="1" t="s">
        <v>783</v>
      </c>
      <c r="K227" s="3" t="s">
        <v>982</v>
      </c>
      <c r="L227" s="365"/>
      <c r="M227" s="2">
        <v>0</v>
      </c>
      <c r="N227" s="311">
        <v>310</v>
      </c>
      <c r="O227" s="310" t="s">
        <v>1110</v>
      </c>
      <c r="P227" s="309">
        <v>40</v>
      </c>
      <c r="Q227" s="60" t="s">
        <v>456</v>
      </c>
      <c r="R227" s="309">
        <v>5022</v>
      </c>
      <c r="S227" s="60" t="s">
        <v>202</v>
      </c>
      <c r="T227" s="61">
        <v>180</v>
      </c>
      <c r="U227" s="60" t="s">
        <v>385</v>
      </c>
      <c r="V227" s="1">
        <v>3</v>
      </c>
      <c r="W227" s="1" t="s">
        <v>20</v>
      </c>
      <c r="X227" s="1" t="s">
        <v>1143</v>
      </c>
      <c r="Y227" s="2">
        <v>-28158.4</v>
      </c>
      <c r="Z227" s="2">
        <v>-21495.2</v>
      </c>
      <c r="AA227" s="2">
        <v>-22775.2</v>
      </c>
      <c r="AB227" s="2">
        <v>-36753.6</v>
      </c>
      <c r="AC227" s="2">
        <v>-39792</v>
      </c>
      <c r="AD227" s="2">
        <v>-28037.6</v>
      </c>
      <c r="AE227" s="2">
        <v>-22710.4</v>
      </c>
      <c r="AF227" s="2">
        <v>-21861.6</v>
      </c>
      <c r="AG227" s="2">
        <v>-18540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1">
        <v>223</v>
      </c>
    </row>
    <row r="228" spans="1:49" ht="12.75">
      <c r="A228" s="5">
        <v>3010</v>
      </c>
      <c r="B228" s="2" t="s">
        <v>266</v>
      </c>
      <c r="C228" s="305">
        <v>0</v>
      </c>
      <c r="D228" s="305">
        <v>0</v>
      </c>
      <c r="E228" s="305">
        <v>0</v>
      </c>
      <c r="F228" s="305">
        <v>0</v>
      </c>
      <c r="G228" s="305">
        <v>0</v>
      </c>
      <c r="H228" s="305">
        <v>-641993.6</v>
      </c>
      <c r="I228" s="305">
        <v>0</v>
      </c>
      <c r="J228" s="1" t="s">
        <v>784</v>
      </c>
      <c r="K228" s="3" t="s">
        <v>982</v>
      </c>
      <c r="L228" s="365"/>
      <c r="M228" s="2">
        <v>0</v>
      </c>
      <c r="N228" s="311">
        <v>310</v>
      </c>
      <c r="O228" s="310" t="s">
        <v>1110</v>
      </c>
      <c r="P228" s="309">
        <v>40</v>
      </c>
      <c r="Q228" s="60" t="s">
        <v>456</v>
      </c>
      <c r="R228" s="309">
        <v>5022</v>
      </c>
      <c r="S228" s="60" t="s">
        <v>202</v>
      </c>
      <c r="T228" s="61">
        <v>180</v>
      </c>
      <c r="U228" s="60" t="s">
        <v>385</v>
      </c>
      <c r="V228" s="1">
        <v>3</v>
      </c>
      <c r="W228" s="1" t="s">
        <v>20</v>
      </c>
      <c r="X228" s="1" t="s">
        <v>1142</v>
      </c>
      <c r="Y228" s="2">
        <v>-73871.2</v>
      </c>
      <c r="Z228" s="2">
        <v>-54057.6</v>
      </c>
      <c r="AA228" s="2">
        <v>-67043.2</v>
      </c>
      <c r="AB228" s="2">
        <v>-82256</v>
      </c>
      <c r="AC228" s="2">
        <v>-102441.6</v>
      </c>
      <c r="AD228" s="2">
        <v>-73804</v>
      </c>
      <c r="AE228" s="2">
        <v>-68298.4</v>
      </c>
      <c r="AF228" s="2">
        <v>-63563.2</v>
      </c>
      <c r="AG228" s="2">
        <v>-56658.4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0</v>
      </c>
      <c r="AW228" s="1">
        <v>224</v>
      </c>
    </row>
    <row r="229" spans="1:49" ht="12.75">
      <c r="A229" s="5">
        <v>3010</v>
      </c>
      <c r="B229" s="2" t="s">
        <v>267</v>
      </c>
      <c r="C229" s="305">
        <v>0</v>
      </c>
      <c r="D229" s="305">
        <v>0</v>
      </c>
      <c r="E229" s="305">
        <v>0</v>
      </c>
      <c r="F229" s="305">
        <v>0</v>
      </c>
      <c r="G229" s="305">
        <v>0</v>
      </c>
      <c r="H229" s="305">
        <v>-21962.4</v>
      </c>
      <c r="I229" s="305">
        <v>0</v>
      </c>
      <c r="J229" s="1" t="s">
        <v>785</v>
      </c>
      <c r="K229" s="3" t="s">
        <v>982</v>
      </c>
      <c r="L229" s="365"/>
      <c r="M229" s="2">
        <v>0</v>
      </c>
      <c r="N229" s="311">
        <v>310</v>
      </c>
      <c r="O229" s="310" t="s">
        <v>1110</v>
      </c>
      <c r="P229" s="309">
        <v>40</v>
      </c>
      <c r="Q229" s="60" t="s">
        <v>456</v>
      </c>
      <c r="R229" s="309">
        <v>5022</v>
      </c>
      <c r="S229" s="60" t="s">
        <v>202</v>
      </c>
      <c r="T229" s="61">
        <v>180</v>
      </c>
      <c r="U229" s="60" t="s">
        <v>385</v>
      </c>
      <c r="V229" s="1">
        <v>3</v>
      </c>
      <c r="W229" s="1" t="s">
        <v>20</v>
      </c>
      <c r="X229" s="1" t="s">
        <v>1143</v>
      </c>
      <c r="Y229" s="2">
        <v>-1980.8</v>
      </c>
      <c r="Z229" s="2">
        <v>-1671.2</v>
      </c>
      <c r="AA229" s="2">
        <v>-2100</v>
      </c>
      <c r="AB229" s="2">
        <v>-2704</v>
      </c>
      <c r="AC229" s="2">
        <v>-3184</v>
      </c>
      <c r="AD229" s="2">
        <v>-2192</v>
      </c>
      <c r="AE229" s="2">
        <v>-2344</v>
      </c>
      <c r="AF229" s="2">
        <v>-2816</v>
      </c>
      <c r="AG229" s="2">
        <v>-2970.4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2">
        <v>0</v>
      </c>
      <c r="AW229" s="1">
        <v>225</v>
      </c>
    </row>
    <row r="230" spans="1:49" ht="12.75">
      <c r="A230" s="5">
        <v>3010</v>
      </c>
      <c r="B230" s="2" t="s">
        <v>268</v>
      </c>
      <c r="C230" s="305">
        <v>0</v>
      </c>
      <c r="D230" s="305">
        <v>0</v>
      </c>
      <c r="E230" s="305">
        <v>0</v>
      </c>
      <c r="F230" s="305">
        <v>0</v>
      </c>
      <c r="G230" s="305">
        <v>0</v>
      </c>
      <c r="H230" s="305">
        <v>-21059.92</v>
      </c>
      <c r="I230" s="305">
        <v>0</v>
      </c>
      <c r="J230" s="1" t="s">
        <v>786</v>
      </c>
      <c r="K230" s="3" t="s">
        <v>982</v>
      </c>
      <c r="L230" s="365"/>
      <c r="M230" s="2">
        <v>0</v>
      </c>
      <c r="N230" s="311">
        <v>310</v>
      </c>
      <c r="O230" s="310" t="s">
        <v>1110</v>
      </c>
      <c r="P230" s="309">
        <v>40</v>
      </c>
      <c r="Q230" s="60" t="s">
        <v>456</v>
      </c>
      <c r="R230" s="309">
        <v>5022</v>
      </c>
      <c r="S230" s="60" t="s">
        <v>202</v>
      </c>
      <c r="T230" s="61">
        <v>180</v>
      </c>
      <c r="U230" s="60" t="s">
        <v>385</v>
      </c>
      <c r="V230" s="1">
        <v>3</v>
      </c>
      <c r="W230" s="1" t="s">
        <v>20</v>
      </c>
      <c r="X230" s="1" t="s">
        <v>1143</v>
      </c>
      <c r="Y230" s="2">
        <v>-2456.8</v>
      </c>
      <c r="Z230" s="2">
        <v>-2136</v>
      </c>
      <c r="AA230" s="2">
        <v>-2062.4</v>
      </c>
      <c r="AB230" s="2">
        <v>-3724</v>
      </c>
      <c r="AC230" s="2">
        <v>-3594.4</v>
      </c>
      <c r="AD230" s="2">
        <v>-2825.6</v>
      </c>
      <c r="AE230" s="2">
        <v>-2301.52</v>
      </c>
      <c r="AF230" s="2">
        <v>-1959.2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1">
        <v>226</v>
      </c>
    </row>
    <row r="231" spans="1:49" ht="12.75">
      <c r="A231" s="5">
        <v>3010</v>
      </c>
      <c r="B231" s="2" t="s">
        <v>269</v>
      </c>
      <c r="C231" s="305">
        <v>0</v>
      </c>
      <c r="D231" s="305">
        <v>0</v>
      </c>
      <c r="E231" s="305">
        <v>0</v>
      </c>
      <c r="F231" s="305">
        <v>0</v>
      </c>
      <c r="G231" s="305">
        <v>0</v>
      </c>
      <c r="H231" s="305">
        <v>-20706.31</v>
      </c>
      <c r="I231" s="305">
        <v>0</v>
      </c>
      <c r="J231" s="1" t="s">
        <v>787</v>
      </c>
      <c r="K231" s="3" t="s">
        <v>982</v>
      </c>
      <c r="L231" s="365"/>
      <c r="M231" s="2">
        <v>0</v>
      </c>
      <c r="N231" s="311">
        <v>310</v>
      </c>
      <c r="O231" s="310" t="s">
        <v>1110</v>
      </c>
      <c r="P231" s="309">
        <v>40</v>
      </c>
      <c r="Q231" s="60" t="s">
        <v>456</v>
      </c>
      <c r="R231" s="309">
        <v>5024</v>
      </c>
      <c r="S231" s="60" t="s">
        <v>155</v>
      </c>
      <c r="T231" s="61">
        <v>190</v>
      </c>
      <c r="U231" s="60" t="s">
        <v>503</v>
      </c>
      <c r="V231" s="1">
        <v>3</v>
      </c>
      <c r="W231" s="1" t="s">
        <v>20</v>
      </c>
      <c r="X231" s="1" t="s">
        <v>1144</v>
      </c>
      <c r="Y231" s="2">
        <v>-1184</v>
      </c>
      <c r="Z231" s="2">
        <v>-1217.6</v>
      </c>
      <c r="AA231" s="2">
        <v>-2609.32</v>
      </c>
      <c r="AB231" s="2">
        <v>-2323.92</v>
      </c>
      <c r="AC231" s="2">
        <v>-2073.32</v>
      </c>
      <c r="AD231" s="2">
        <v>-2578.4</v>
      </c>
      <c r="AE231" s="2">
        <v>-1925.2</v>
      </c>
      <c r="AF231" s="2">
        <v>-2926.19</v>
      </c>
      <c r="AG231" s="2">
        <v>-3868.36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1">
        <v>227</v>
      </c>
    </row>
    <row r="232" spans="1:49" ht="12.75">
      <c r="A232" s="5">
        <v>3010</v>
      </c>
      <c r="B232" s="2" t="s">
        <v>270</v>
      </c>
      <c r="C232" s="305">
        <v>0</v>
      </c>
      <c r="D232" s="305">
        <v>0</v>
      </c>
      <c r="E232" s="305">
        <v>0</v>
      </c>
      <c r="F232" s="305">
        <v>0</v>
      </c>
      <c r="G232" s="305">
        <v>0</v>
      </c>
      <c r="H232" s="305">
        <v>-51354.08</v>
      </c>
      <c r="I232" s="305">
        <v>0</v>
      </c>
      <c r="J232" s="1" t="s">
        <v>789</v>
      </c>
      <c r="K232" s="3" t="s">
        <v>982</v>
      </c>
      <c r="L232" s="365"/>
      <c r="M232" s="2">
        <v>0</v>
      </c>
      <c r="N232" s="311">
        <v>310</v>
      </c>
      <c r="O232" s="310" t="s">
        <v>1110</v>
      </c>
      <c r="P232" s="309">
        <v>40</v>
      </c>
      <c r="Q232" s="60" t="s">
        <v>456</v>
      </c>
      <c r="R232" s="309">
        <v>5024</v>
      </c>
      <c r="S232" s="60" t="s">
        <v>155</v>
      </c>
      <c r="T232" s="61">
        <v>190</v>
      </c>
      <c r="U232" s="60" t="s">
        <v>503</v>
      </c>
      <c r="V232" s="1">
        <v>3</v>
      </c>
      <c r="W232" s="1" t="s">
        <v>20</v>
      </c>
      <c r="X232" s="1" t="s">
        <v>1157</v>
      </c>
      <c r="Y232" s="2">
        <v>-4215.04</v>
      </c>
      <c r="Z232" s="2">
        <v>-3569.84</v>
      </c>
      <c r="AA232" s="2">
        <v>-6806.8</v>
      </c>
      <c r="AB232" s="2">
        <v>-6311.84</v>
      </c>
      <c r="AC232" s="2">
        <v>-10397.6</v>
      </c>
      <c r="AD232" s="2">
        <v>-7444.4</v>
      </c>
      <c r="AE232" s="2">
        <v>-8671.92</v>
      </c>
      <c r="AF232" s="2">
        <v>-3936.64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1">
        <v>228</v>
      </c>
    </row>
    <row r="233" spans="1:49" ht="12.75">
      <c r="A233" s="5">
        <v>3010</v>
      </c>
      <c r="B233" s="2" t="s">
        <v>271</v>
      </c>
      <c r="C233" s="305">
        <v>0</v>
      </c>
      <c r="D233" s="305">
        <v>0</v>
      </c>
      <c r="E233" s="305">
        <v>0</v>
      </c>
      <c r="F233" s="305">
        <v>0</v>
      </c>
      <c r="G233" s="305">
        <v>0</v>
      </c>
      <c r="H233" s="305">
        <v>-29648.24</v>
      </c>
      <c r="I233" s="305">
        <v>0</v>
      </c>
      <c r="J233" s="1" t="s">
        <v>790</v>
      </c>
      <c r="K233" s="3" t="s">
        <v>982</v>
      </c>
      <c r="L233" s="365"/>
      <c r="M233" s="2">
        <v>0</v>
      </c>
      <c r="N233" s="311">
        <v>310</v>
      </c>
      <c r="O233" s="310" t="s">
        <v>1110</v>
      </c>
      <c r="P233" s="309">
        <v>40</v>
      </c>
      <c r="Q233" s="60" t="s">
        <v>456</v>
      </c>
      <c r="R233" s="309">
        <v>5024</v>
      </c>
      <c r="S233" s="60" t="s">
        <v>155</v>
      </c>
      <c r="T233" s="61">
        <v>190</v>
      </c>
      <c r="U233" s="60" t="s">
        <v>503</v>
      </c>
      <c r="V233" s="1">
        <v>3</v>
      </c>
      <c r="W233" s="1" t="s">
        <v>20</v>
      </c>
      <c r="X233" s="1" t="s">
        <v>1145</v>
      </c>
      <c r="Y233" s="2">
        <v>-8968.8</v>
      </c>
      <c r="Z233" s="2">
        <v>-6325.6</v>
      </c>
      <c r="AA233" s="2">
        <v>-1883.2</v>
      </c>
      <c r="AB233" s="2">
        <v>-997.6</v>
      </c>
      <c r="AC233" s="2">
        <v>-957.6</v>
      </c>
      <c r="AD233" s="2">
        <v>-813.6</v>
      </c>
      <c r="AE233" s="2">
        <v>-879.2</v>
      </c>
      <c r="AF233" s="2">
        <v>-4275.2</v>
      </c>
      <c r="AG233" s="2">
        <v>-4547.44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1">
        <v>229</v>
      </c>
    </row>
    <row r="234" spans="1:49" ht="12.75">
      <c r="A234" s="5">
        <v>3010</v>
      </c>
      <c r="B234" s="2" t="s">
        <v>272</v>
      </c>
      <c r="C234" s="305">
        <v>0</v>
      </c>
      <c r="D234" s="305">
        <v>0</v>
      </c>
      <c r="E234" s="305">
        <v>0</v>
      </c>
      <c r="F234" s="305">
        <v>0</v>
      </c>
      <c r="G234" s="305">
        <v>0</v>
      </c>
      <c r="H234" s="305">
        <v>-555410.51</v>
      </c>
      <c r="I234" s="305">
        <v>0</v>
      </c>
      <c r="J234" s="1" t="s">
        <v>791</v>
      </c>
      <c r="K234" s="3" t="s">
        <v>982</v>
      </c>
      <c r="L234" s="365"/>
      <c r="M234" s="2">
        <v>0</v>
      </c>
      <c r="N234" s="311">
        <v>310</v>
      </c>
      <c r="O234" s="310" t="s">
        <v>1110</v>
      </c>
      <c r="P234" s="309">
        <v>40</v>
      </c>
      <c r="Q234" s="60" t="s">
        <v>456</v>
      </c>
      <c r="R234" s="309">
        <v>5024</v>
      </c>
      <c r="S234" s="60" t="s">
        <v>155</v>
      </c>
      <c r="T234" s="61">
        <v>200</v>
      </c>
      <c r="U234" s="60" t="s">
        <v>499</v>
      </c>
      <c r="V234" s="1">
        <v>3</v>
      </c>
      <c r="W234" s="1" t="s">
        <v>20</v>
      </c>
      <c r="X234" s="1" t="s">
        <v>1148</v>
      </c>
      <c r="Y234" s="2">
        <v>-67860</v>
      </c>
      <c r="Z234" s="2">
        <v>-58267.2</v>
      </c>
      <c r="AA234" s="2">
        <v>-86498.15</v>
      </c>
      <c r="AB234" s="2">
        <v>-90379.44</v>
      </c>
      <c r="AC234" s="2">
        <v>-81238.24</v>
      </c>
      <c r="AD234" s="2">
        <v>-68495.44</v>
      </c>
      <c r="AE234" s="2">
        <v>-37137.12</v>
      </c>
      <c r="AF234" s="2">
        <v>-42486.92</v>
      </c>
      <c r="AG234" s="2">
        <v>-23048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1">
        <v>230</v>
      </c>
    </row>
    <row r="235" spans="1:49" ht="12.75">
      <c r="A235" s="5">
        <v>3010</v>
      </c>
      <c r="B235" s="2" t="s">
        <v>415</v>
      </c>
      <c r="C235" s="305">
        <v>0</v>
      </c>
      <c r="D235" s="305">
        <v>0</v>
      </c>
      <c r="E235" s="305">
        <v>0</v>
      </c>
      <c r="F235" s="305">
        <v>0</v>
      </c>
      <c r="G235" s="305">
        <v>0</v>
      </c>
      <c r="H235" s="305">
        <v>-21629.76</v>
      </c>
      <c r="I235" s="305">
        <v>0</v>
      </c>
      <c r="J235" s="1" t="s">
        <v>792</v>
      </c>
      <c r="K235" s="3" t="s">
        <v>982</v>
      </c>
      <c r="L235" s="365"/>
      <c r="M235" s="2">
        <v>0</v>
      </c>
      <c r="N235" s="311">
        <v>310</v>
      </c>
      <c r="O235" s="310" t="s">
        <v>1110</v>
      </c>
      <c r="P235" s="309">
        <v>40</v>
      </c>
      <c r="Q235" s="60" t="s">
        <v>456</v>
      </c>
      <c r="R235" s="309">
        <v>5024</v>
      </c>
      <c r="S235" s="60" t="s">
        <v>155</v>
      </c>
      <c r="T235" s="61">
        <v>170</v>
      </c>
      <c r="U235" s="60" t="s">
        <v>501</v>
      </c>
      <c r="V235" s="1">
        <v>3</v>
      </c>
      <c r="W235" s="1" t="s">
        <v>20</v>
      </c>
      <c r="X235" s="1" t="s">
        <v>1158</v>
      </c>
      <c r="Y235" s="2">
        <v>-6003.6</v>
      </c>
      <c r="Z235" s="2">
        <v>-4851.2</v>
      </c>
      <c r="AA235" s="2">
        <v>-3020.32</v>
      </c>
      <c r="AB235" s="2">
        <v>-1698</v>
      </c>
      <c r="AC235" s="2">
        <v>-2101.68</v>
      </c>
      <c r="AD235" s="2">
        <v>-1465.44</v>
      </c>
      <c r="AE235" s="2">
        <v>-1835.76</v>
      </c>
      <c r="AF235" s="2">
        <v>-653.76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1">
        <v>231</v>
      </c>
    </row>
    <row r="236" spans="1:49" ht="12.75">
      <c r="A236" s="5">
        <v>3010</v>
      </c>
      <c r="B236" s="2" t="s">
        <v>273</v>
      </c>
      <c r="C236" s="305">
        <v>0</v>
      </c>
      <c r="D236" s="305">
        <v>0</v>
      </c>
      <c r="E236" s="305">
        <v>0</v>
      </c>
      <c r="F236" s="305">
        <v>0</v>
      </c>
      <c r="G236" s="305">
        <v>0</v>
      </c>
      <c r="H236" s="305">
        <v>-245011.55</v>
      </c>
      <c r="I236" s="305">
        <v>0</v>
      </c>
      <c r="J236" s="1" t="s">
        <v>793</v>
      </c>
      <c r="K236" s="3" t="s">
        <v>982</v>
      </c>
      <c r="L236" s="365"/>
      <c r="M236" s="2">
        <v>0</v>
      </c>
      <c r="N236" s="311">
        <v>310</v>
      </c>
      <c r="O236" s="310" t="s">
        <v>1110</v>
      </c>
      <c r="P236" s="309">
        <v>40</v>
      </c>
      <c r="Q236" s="60" t="s">
        <v>456</v>
      </c>
      <c r="R236" s="309">
        <v>5024</v>
      </c>
      <c r="S236" s="60" t="s">
        <v>155</v>
      </c>
      <c r="T236" s="61">
        <v>190</v>
      </c>
      <c r="U236" s="60" t="s">
        <v>503</v>
      </c>
      <c r="V236" s="1">
        <v>3</v>
      </c>
      <c r="W236" s="1" t="s">
        <v>20</v>
      </c>
      <c r="X236" s="1" t="s">
        <v>1146</v>
      </c>
      <c r="Y236" s="2">
        <v>-24583.2</v>
      </c>
      <c r="Z236" s="2">
        <v>-27704.8</v>
      </c>
      <c r="AA236" s="2">
        <v>-24238.4</v>
      </c>
      <c r="AB236" s="2">
        <v>-39150.4</v>
      </c>
      <c r="AC236" s="2">
        <v>-38873.6</v>
      </c>
      <c r="AD236" s="2">
        <v>-34350.4</v>
      </c>
      <c r="AE236" s="2">
        <v>-32127.2</v>
      </c>
      <c r="AF236" s="2">
        <v>-15718.36</v>
      </c>
      <c r="AG236" s="2">
        <v>-8265.19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v>0</v>
      </c>
      <c r="AW236" s="1">
        <v>232</v>
      </c>
    </row>
    <row r="237" spans="1:49" ht="12.75">
      <c r="A237" s="5">
        <v>3010</v>
      </c>
      <c r="B237" s="2" t="s">
        <v>274</v>
      </c>
      <c r="C237" s="305">
        <v>0</v>
      </c>
      <c r="D237" s="305">
        <v>0</v>
      </c>
      <c r="E237" s="305">
        <v>0</v>
      </c>
      <c r="F237" s="305">
        <v>0</v>
      </c>
      <c r="G237" s="305">
        <v>0</v>
      </c>
      <c r="H237" s="305">
        <v>-129533.14</v>
      </c>
      <c r="I237" s="305">
        <v>0</v>
      </c>
      <c r="J237" s="1" t="s">
        <v>794</v>
      </c>
      <c r="K237" s="3" t="s">
        <v>982</v>
      </c>
      <c r="L237" s="365"/>
      <c r="M237" s="2">
        <v>0</v>
      </c>
      <c r="N237" s="311">
        <v>310</v>
      </c>
      <c r="O237" s="310" t="s">
        <v>1110</v>
      </c>
      <c r="P237" s="309">
        <v>40</v>
      </c>
      <c r="Q237" s="60" t="s">
        <v>456</v>
      </c>
      <c r="R237" s="309">
        <v>5024</v>
      </c>
      <c r="S237" s="60" t="s">
        <v>155</v>
      </c>
      <c r="T237" s="61">
        <v>200</v>
      </c>
      <c r="U237" s="60" t="s">
        <v>499</v>
      </c>
      <c r="V237" s="1">
        <v>3</v>
      </c>
      <c r="W237" s="1" t="s">
        <v>20</v>
      </c>
      <c r="X237" s="1" t="s">
        <v>1147</v>
      </c>
      <c r="Y237" s="2">
        <v>-22003.84</v>
      </c>
      <c r="Z237" s="2">
        <v>-13763.28</v>
      </c>
      <c r="AA237" s="2">
        <v>-15686.48</v>
      </c>
      <c r="AB237" s="2">
        <v>-10777.2</v>
      </c>
      <c r="AC237" s="2">
        <v>-14425.76</v>
      </c>
      <c r="AD237" s="2">
        <v>-13158.96</v>
      </c>
      <c r="AE237" s="2">
        <v>-11288.56</v>
      </c>
      <c r="AF237" s="2">
        <v>-14122.89</v>
      </c>
      <c r="AG237" s="2">
        <v>-14306.17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0</v>
      </c>
      <c r="AV237" s="2">
        <v>0</v>
      </c>
      <c r="AW237" s="1">
        <v>233</v>
      </c>
    </row>
    <row r="238" spans="1:49" ht="12.75">
      <c r="A238" s="5">
        <v>3010</v>
      </c>
      <c r="B238" s="2" t="s">
        <v>1159</v>
      </c>
      <c r="C238" s="305">
        <v>0</v>
      </c>
      <c r="D238" s="305">
        <v>0</v>
      </c>
      <c r="E238" s="305">
        <v>0</v>
      </c>
      <c r="F238" s="305">
        <v>0</v>
      </c>
      <c r="G238" s="305">
        <v>0</v>
      </c>
      <c r="H238" s="305">
        <v>-904.8</v>
      </c>
      <c r="I238" s="305">
        <v>0</v>
      </c>
      <c r="J238" s="1" t="s">
        <v>806</v>
      </c>
      <c r="K238" s="3" t="s">
        <v>982</v>
      </c>
      <c r="L238" s="365"/>
      <c r="M238" s="2">
        <v>0</v>
      </c>
      <c r="N238" s="311">
        <v>310</v>
      </c>
      <c r="O238" s="310" t="s">
        <v>1110</v>
      </c>
      <c r="P238" s="309">
        <v>40</v>
      </c>
      <c r="Q238" s="60" t="s">
        <v>456</v>
      </c>
      <c r="R238" s="309">
        <v>5027</v>
      </c>
      <c r="S238" s="60" t="s">
        <v>206</v>
      </c>
      <c r="T238" s="61">
        <v>160</v>
      </c>
      <c r="U238" s="60" t="s">
        <v>716</v>
      </c>
      <c r="V238" s="1">
        <v>3</v>
      </c>
      <c r="W238" s="1" t="s">
        <v>20</v>
      </c>
      <c r="X238" s="1" t="s">
        <v>1160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-93.6</v>
      </c>
      <c r="AG238" s="2">
        <v>-811.2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0</v>
      </c>
      <c r="AV238" s="2">
        <v>0</v>
      </c>
      <c r="AW238" s="1">
        <v>234</v>
      </c>
    </row>
    <row r="239" spans="1:49" ht="12.75">
      <c r="A239" s="5">
        <v>3010</v>
      </c>
      <c r="B239" s="2" t="s">
        <v>275</v>
      </c>
      <c r="C239" s="305">
        <v>0</v>
      </c>
      <c r="D239" s="305">
        <v>0</v>
      </c>
      <c r="E239" s="305">
        <v>0</v>
      </c>
      <c r="F239" s="305">
        <v>0</v>
      </c>
      <c r="G239" s="305">
        <v>0</v>
      </c>
      <c r="H239" s="305">
        <v>-48870.4</v>
      </c>
      <c r="I239" s="305">
        <v>0</v>
      </c>
      <c r="J239" s="1" t="s">
        <v>810</v>
      </c>
      <c r="K239" s="3" t="s">
        <v>982</v>
      </c>
      <c r="L239" s="365"/>
      <c r="M239" s="2">
        <v>0</v>
      </c>
      <c r="N239" s="311">
        <v>310</v>
      </c>
      <c r="O239" s="310" t="s">
        <v>1110</v>
      </c>
      <c r="P239" s="309">
        <v>40</v>
      </c>
      <c r="Q239" s="60" t="s">
        <v>456</v>
      </c>
      <c r="R239" s="309">
        <v>5028</v>
      </c>
      <c r="S239" s="60" t="s">
        <v>207</v>
      </c>
      <c r="T239" s="61">
        <v>170</v>
      </c>
      <c r="U239" s="60" t="s">
        <v>501</v>
      </c>
      <c r="V239" s="1">
        <v>3</v>
      </c>
      <c r="W239" s="1" t="s">
        <v>20</v>
      </c>
      <c r="X239" s="1" t="s">
        <v>1138</v>
      </c>
      <c r="Y239" s="2">
        <v>-5633.6</v>
      </c>
      <c r="Z239" s="2">
        <v>-4547.2</v>
      </c>
      <c r="AA239" s="2">
        <v>-4161.6</v>
      </c>
      <c r="AB239" s="2">
        <v>-5796.8</v>
      </c>
      <c r="AC239" s="2">
        <v>-8218.4</v>
      </c>
      <c r="AD239" s="2">
        <v>-5587.2</v>
      </c>
      <c r="AE239" s="2">
        <v>-5344</v>
      </c>
      <c r="AF239" s="2">
        <v>-4613.6</v>
      </c>
      <c r="AG239" s="2">
        <v>-4968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0</v>
      </c>
      <c r="AV239" s="2">
        <v>0</v>
      </c>
      <c r="AW239" s="1">
        <v>235</v>
      </c>
    </row>
    <row r="240" spans="1:49" ht="12.75">
      <c r="A240" s="5">
        <v>3010</v>
      </c>
      <c r="B240" s="2" t="s">
        <v>276</v>
      </c>
      <c r="C240" s="305">
        <v>0</v>
      </c>
      <c r="D240" s="305">
        <v>0</v>
      </c>
      <c r="E240" s="305">
        <v>0</v>
      </c>
      <c r="F240" s="305">
        <v>0</v>
      </c>
      <c r="G240" s="305">
        <v>0</v>
      </c>
      <c r="H240" s="305">
        <v>-7506</v>
      </c>
      <c r="I240" s="305">
        <v>0</v>
      </c>
      <c r="J240" s="1" t="s">
        <v>811</v>
      </c>
      <c r="K240" s="3" t="s">
        <v>982</v>
      </c>
      <c r="L240" s="365"/>
      <c r="M240" s="2">
        <v>0</v>
      </c>
      <c r="N240" s="311">
        <v>310</v>
      </c>
      <c r="O240" s="310" t="s">
        <v>1110</v>
      </c>
      <c r="P240" s="309">
        <v>40</v>
      </c>
      <c r="Q240" s="60" t="s">
        <v>456</v>
      </c>
      <c r="R240" s="309">
        <v>5028</v>
      </c>
      <c r="S240" s="60" t="s">
        <v>207</v>
      </c>
      <c r="T240" s="61">
        <v>170</v>
      </c>
      <c r="U240" s="60" t="s">
        <v>501</v>
      </c>
      <c r="V240" s="1">
        <v>3</v>
      </c>
      <c r="W240" s="1" t="s">
        <v>20</v>
      </c>
      <c r="X240" s="1" t="s">
        <v>1137</v>
      </c>
      <c r="Y240" s="2">
        <v>-645.52</v>
      </c>
      <c r="Z240" s="2">
        <v>-722.4</v>
      </c>
      <c r="AA240" s="2">
        <v>-471.28</v>
      </c>
      <c r="AB240" s="2">
        <v>-948.72</v>
      </c>
      <c r="AC240" s="2">
        <v>-1154.4</v>
      </c>
      <c r="AD240" s="2">
        <v>-1062.64</v>
      </c>
      <c r="AE240" s="2">
        <v>-1349.04</v>
      </c>
      <c r="AF240" s="2">
        <v>-900.16</v>
      </c>
      <c r="AG240" s="2">
        <v>-251.84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2">
        <v>0</v>
      </c>
      <c r="AP240" s="2">
        <v>0</v>
      </c>
      <c r="AQ240" s="2">
        <v>0</v>
      </c>
      <c r="AR240" s="2">
        <v>0</v>
      </c>
      <c r="AS240" s="2">
        <v>0</v>
      </c>
      <c r="AT240" s="2">
        <v>0</v>
      </c>
      <c r="AU240" s="2">
        <v>0</v>
      </c>
      <c r="AV240" s="2">
        <v>0</v>
      </c>
      <c r="AW240" s="1">
        <v>236</v>
      </c>
    </row>
    <row r="241" spans="1:49" ht="12.75">
      <c r="A241" s="5">
        <v>3010</v>
      </c>
      <c r="B241" s="2" t="s">
        <v>277</v>
      </c>
      <c r="C241" s="305">
        <v>0</v>
      </c>
      <c r="D241" s="305">
        <v>0</v>
      </c>
      <c r="E241" s="305">
        <v>0</v>
      </c>
      <c r="F241" s="305">
        <v>0</v>
      </c>
      <c r="G241" s="305">
        <v>0</v>
      </c>
      <c r="H241" s="305">
        <v>-49555.52</v>
      </c>
      <c r="I241" s="305">
        <v>0</v>
      </c>
      <c r="J241" s="1" t="s">
        <v>813</v>
      </c>
      <c r="K241" s="3" t="s">
        <v>982</v>
      </c>
      <c r="L241" s="365"/>
      <c r="M241" s="2">
        <v>0</v>
      </c>
      <c r="N241" s="311">
        <v>310</v>
      </c>
      <c r="O241" s="310" t="s">
        <v>1110</v>
      </c>
      <c r="P241" s="309">
        <v>40</v>
      </c>
      <c r="Q241" s="60" t="s">
        <v>456</v>
      </c>
      <c r="R241" s="309">
        <v>5028</v>
      </c>
      <c r="S241" s="60" t="s">
        <v>207</v>
      </c>
      <c r="T241" s="61">
        <v>170</v>
      </c>
      <c r="U241" s="60" t="s">
        <v>501</v>
      </c>
      <c r="V241" s="1">
        <v>3</v>
      </c>
      <c r="W241" s="1" t="s">
        <v>20</v>
      </c>
      <c r="X241" s="1" t="s">
        <v>1161</v>
      </c>
      <c r="Y241" s="2">
        <v>-6126.56</v>
      </c>
      <c r="Z241" s="2">
        <v>-5788.24</v>
      </c>
      <c r="AA241" s="2">
        <v>-4794.16</v>
      </c>
      <c r="AB241" s="2">
        <v>-7170</v>
      </c>
      <c r="AC241" s="2">
        <v>-11200.8</v>
      </c>
      <c r="AD241" s="2">
        <v>-5341.52</v>
      </c>
      <c r="AE241" s="2">
        <v>-4599.6</v>
      </c>
      <c r="AF241" s="2">
        <v>-3822.08</v>
      </c>
      <c r="AG241" s="2">
        <v>-712.56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  <c r="AU241" s="2">
        <v>0</v>
      </c>
      <c r="AV241" s="2">
        <v>0</v>
      </c>
      <c r="AW241" s="1">
        <v>237</v>
      </c>
    </row>
    <row r="242" spans="1:49" ht="12.75">
      <c r="A242" s="5">
        <v>3010</v>
      </c>
      <c r="B242" s="2" t="s">
        <v>278</v>
      </c>
      <c r="C242" s="305">
        <v>0</v>
      </c>
      <c r="D242" s="305">
        <v>0</v>
      </c>
      <c r="E242" s="305">
        <v>0</v>
      </c>
      <c r="F242" s="305">
        <v>0</v>
      </c>
      <c r="G242" s="305">
        <v>0</v>
      </c>
      <c r="H242" s="305">
        <v>-45768.8</v>
      </c>
      <c r="I242" s="305">
        <v>0</v>
      </c>
      <c r="J242" s="1" t="s">
        <v>817</v>
      </c>
      <c r="K242" s="3" t="s">
        <v>982</v>
      </c>
      <c r="L242" s="365"/>
      <c r="M242" s="2">
        <v>0</v>
      </c>
      <c r="N242" s="311">
        <v>310</v>
      </c>
      <c r="O242" s="310" t="s">
        <v>1110</v>
      </c>
      <c r="P242" s="309">
        <v>40</v>
      </c>
      <c r="Q242" s="60" t="s">
        <v>456</v>
      </c>
      <c r="R242" s="309">
        <v>5029</v>
      </c>
      <c r="S242" s="60" t="s">
        <v>208</v>
      </c>
      <c r="T242" s="61">
        <v>170</v>
      </c>
      <c r="U242" s="60" t="s">
        <v>501</v>
      </c>
      <c r="V242" s="1">
        <v>3</v>
      </c>
      <c r="W242" s="1" t="s">
        <v>20</v>
      </c>
      <c r="X242" s="1" t="s">
        <v>1162</v>
      </c>
      <c r="Y242" s="2">
        <v>-3812.4</v>
      </c>
      <c r="Z242" s="2">
        <v>-13234</v>
      </c>
      <c r="AA242" s="2">
        <v>-6900</v>
      </c>
      <c r="AB242" s="2">
        <v>-6844.8</v>
      </c>
      <c r="AC242" s="2">
        <v>-9264.4</v>
      </c>
      <c r="AD242" s="2">
        <v>-2976</v>
      </c>
      <c r="AE242" s="2">
        <v>-318</v>
      </c>
      <c r="AF242" s="2">
        <v>0</v>
      </c>
      <c r="AG242" s="2">
        <v>-2419.2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v>0</v>
      </c>
      <c r="AW242" s="1">
        <v>238</v>
      </c>
    </row>
    <row r="243" spans="1:49" ht="12.75">
      <c r="A243" s="5">
        <v>3010</v>
      </c>
      <c r="B243" s="2" t="s">
        <v>1163</v>
      </c>
      <c r="C243" s="305">
        <v>-183.2</v>
      </c>
      <c r="D243" s="305">
        <v>0</v>
      </c>
      <c r="E243" s="305">
        <v>0</v>
      </c>
      <c r="F243" s="305">
        <v>-8972</v>
      </c>
      <c r="G243" s="305">
        <v>0</v>
      </c>
      <c r="H243" s="305">
        <v>0</v>
      </c>
      <c r="I243" s="305">
        <v>0</v>
      </c>
      <c r="J243" s="1" t="s">
        <v>819</v>
      </c>
      <c r="K243" s="3" t="s">
        <v>982</v>
      </c>
      <c r="L243" s="365"/>
      <c r="M243" s="2">
        <v>-8972</v>
      </c>
      <c r="N243" s="311">
        <v>310</v>
      </c>
      <c r="O243" s="310" t="s">
        <v>1110</v>
      </c>
      <c r="P243" s="309">
        <v>40</v>
      </c>
      <c r="Q243" s="60" t="s">
        <v>456</v>
      </c>
      <c r="R243" s="309">
        <v>5020</v>
      </c>
      <c r="S243" s="60" t="s">
        <v>205</v>
      </c>
      <c r="T243" s="61">
        <v>240</v>
      </c>
      <c r="U243" s="60" t="s">
        <v>788</v>
      </c>
      <c r="V243" s="1">
        <v>3</v>
      </c>
      <c r="W243" s="1" t="s">
        <v>20</v>
      </c>
      <c r="X243" s="1" t="s">
        <v>1139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v>-156</v>
      </c>
      <c r="AL243" s="2">
        <v>-64</v>
      </c>
      <c r="AM243" s="2">
        <v>-390.4</v>
      </c>
      <c r="AN243" s="2">
        <v>-477.6</v>
      </c>
      <c r="AO243" s="2">
        <v>-636.8</v>
      </c>
      <c r="AP243" s="2">
        <v>-1432.8</v>
      </c>
      <c r="AQ243" s="2">
        <v>-2150.4</v>
      </c>
      <c r="AR243" s="2">
        <v>-2198.4</v>
      </c>
      <c r="AS243" s="2">
        <v>-1099.2</v>
      </c>
      <c r="AT243" s="2">
        <v>-183.2</v>
      </c>
      <c r="AU243" s="2">
        <v>0</v>
      </c>
      <c r="AV243" s="2">
        <v>-183.2</v>
      </c>
      <c r="AW243" s="1">
        <v>239</v>
      </c>
    </row>
    <row r="244" spans="1:49" ht="12.75">
      <c r="A244" s="5">
        <v>3011</v>
      </c>
      <c r="B244" s="2" t="s">
        <v>1164</v>
      </c>
      <c r="C244" s="305">
        <v>0</v>
      </c>
      <c r="D244" s="305">
        <v>0</v>
      </c>
      <c r="E244" s="305">
        <v>0</v>
      </c>
      <c r="F244" s="305">
        <v>-27272</v>
      </c>
      <c r="G244" s="305">
        <v>0</v>
      </c>
      <c r="H244" s="305">
        <v>0</v>
      </c>
      <c r="I244" s="305">
        <v>0</v>
      </c>
      <c r="J244" s="1" t="s">
        <v>774</v>
      </c>
      <c r="K244" s="3" t="s">
        <v>982</v>
      </c>
      <c r="L244" s="365"/>
      <c r="M244" s="2">
        <v>-27272</v>
      </c>
      <c r="N244" s="311">
        <v>300</v>
      </c>
      <c r="O244" s="310" t="s">
        <v>82</v>
      </c>
      <c r="P244" s="309">
        <v>40</v>
      </c>
      <c r="Q244" s="60" t="s">
        <v>456</v>
      </c>
      <c r="R244" s="309">
        <v>5011</v>
      </c>
      <c r="S244" s="60" t="s">
        <v>209</v>
      </c>
      <c r="T244" s="61">
        <v>210</v>
      </c>
      <c r="U244" s="60" t="s">
        <v>500</v>
      </c>
      <c r="V244" s="1">
        <v>3</v>
      </c>
      <c r="W244" s="1" t="s">
        <v>20</v>
      </c>
      <c r="X244" s="1" t="s">
        <v>1117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0</v>
      </c>
      <c r="AP244" s="2">
        <v>-7631.2</v>
      </c>
      <c r="AQ244" s="2">
        <v>-10334.4</v>
      </c>
      <c r="AR244" s="2">
        <v>-9306.4</v>
      </c>
      <c r="AS244" s="2">
        <v>0</v>
      </c>
      <c r="AT244" s="2">
        <v>0</v>
      </c>
      <c r="AU244" s="2">
        <v>0</v>
      </c>
      <c r="AV244" s="2">
        <v>0</v>
      </c>
      <c r="AW244" s="1">
        <v>240</v>
      </c>
    </row>
    <row r="245" spans="1:49" ht="12.75">
      <c r="A245" s="5">
        <v>3020</v>
      </c>
      <c r="B245" s="2" t="s">
        <v>279</v>
      </c>
      <c r="C245" s="305">
        <v>0</v>
      </c>
      <c r="D245" s="305">
        <v>0</v>
      </c>
      <c r="E245" s="305">
        <v>0</v>
      </c>
      <c r="F245" s="305">
        <v>0</v>
      </c>
      <c r="G245" s="305">
        <v>0</v>
      </c>
      <c r="H245" s="305">
        <v>-2069764.69</v>
      </c>
      <c r="I245" s="305">
        <v>0</v>
      </c>
      <c r="J245" s="1" t="s">
        <v>676</v>
      </c>
      <c r="K245" s="3" t="s">
        <v>982</v>
      </c>
      <c r="L245" s="365"/>
      <c r="M245" s="2">
        <v>0</v>
      </c>
      <c r="N245" s="311">
        <v>310</v>
      </c>
      <c r="O245" s="310" t="s">
        <v>1110</v>
      </c>
      <c r="P245" s="309">
        <v>40</v>
      </c>
      <c r="Q245" s="60" t="s">
        <v>456</v>
      </c>
      <c r="R245" s="309">
        <v>5021</v>
      </c>
      <c r="S245" s="60" t="s">
        <v>201</v>
      </c>
      <c r="T245" s="61">
        <v>120</v>
      </c>
      <c r="U245" s="60" t="s">
        <v>382</v>
      </c>
      <c r="V245" s="1">
        <v>3</v>
      </c>
      <c r="W245" s="1" t="s">
        <v>20</v>
      </c>
      <c r="X245" s="1" t="s">
        <v>1118</v>
      </c>
      <c r="Y245" s="2">
        <v>-168203.28</v>
      </c>
      <c r="Z245" s="2">
        <v>-166283.97</v>
      </c>
      <c r="AA245" s="2">
        <v>-207210.89</v>
      </c>
      <c r="AB245" s="2">
        <v>-232339.5</v>
      </c>
      <c r="AC245" s="2">
        <v>-278120.44</v>
      </c>
      <c r="AD245" s="2">
        <v>-261114.8</v>
      </c>
      <c r="AE245" s="2">
        <v>-254365.15</v>
      </c>
      <c r="AF245" s="2">
        <v>-263375.35</v>
      </c>
      <c r="AG245" s="2">
        <v>-238751.31</v>
      </c>
      <c r="AH245" s="2">
        <v>0</v>
      </c>
      <c r="AI245" s="2">
        <v>0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2">
        <v>0</v>
      </c>
      <c r="AP245" s="2">
        <v>0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v>0</v>
      </c>
      <c r="AW245" s="1">
        <v>241</v>
      </c>
    </row>
    <row r="246" spans="1:49" ht="12.75">
      <c r="A246" s="5">
        <v>3020</v>
      </c>
      <c r="B246" s="2" t="s">
        <v>853</v>
      </c>
      <c r="C246" s="305">
        <v>-21255.62</v>
      </c>
      <c r="D246" s="305">
        <v>0</v>
      </c>
      <c r="E246" s="305">
        <v>-19559.12</v>
      </c>
      <c r="F246" s="305">
        <v>-385299.71</v>
      </c>
      <c r="G246" s="305">
        <v>0</v>
      </c>
      <c r="H246" s="305">
        <v>-81293.43</v>
      </c>
      <c r="I246" s="305">
        <v>0</v>
      </c>
      <c r="J246" s="1" t="s">
        <v>678</v>
      </c>
      <c r="K246" s="3" t="s">
        <v>982</v>
      </c>
      <c r="L246" s="365"/>
      <c r="M246" s="2">
        <v>-385299.71</v>
      </c>
      <c r="N246" s="311">
        <v>310</v>
      </c>
      <c r="O246" s="310" t="s">
        <v>1110</v>
      </c>
      <c r="P246" s="309">
        <v>40</v>
      </c>
      <c r="Q246" s="60" t="s">
        <v>456</v>
      </c>
      <c r="R246" s="309">
        <v>5019</v>
      </c>
      <c r="S246" s="60" t="s">
        <v>679</v>
      </c>
      <c r="T246" s="61">
        <v>120</v>
      </c>
      <c r="U246" s="60" t="s">
        <v>382</v>
      </c>
      <c r="V246" s="1">
        <v>3</v>
      </c>
      <c r="W246" s="1" t="s">
        <v>20</v>
      </c>
      <c r="X246" s="1" t="s">
        <v>1119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-34763.03</v>
      </c>
      <c r="AI246" s="2">
        <v>-26971.28</v>
      </c>
      <c r="AJ246" s="2">
        <v>-19559.12</v>
      </c>
      <c r="AK246" s="2">
        <v>-26653.91</v>
      </c>
      <c r="AL246" s="2">
        <v>-29675.59</v>
      </c>
      <c r="AM246" s="2">
        <v>-30366.05</v>
      </c>
      <c r="AN246" s="2">
        <v>-32240.81</v>
      </c>
      <c r="AO246" s="2">
        <v>-40700.87</v>
      </c>
      <c r="AP246" s="2">
        <v>-39365.2</v>
      </c>
      <c r="AQ246" s="2">
        <v>-35096.46</v>
      </c>
      <c r="AR246" s="2">
        <v>-33126.05</v>
      </c>
      <c r="AS246" s="2">
        <v>-33846.96</v>
      </c>
      <c r="AT246" s="2">
        <v>-36753.93</v>
      </c>
      <c r="AU246" s="2">
        <v>-26218.26</v>
      </c>
      <c r="AV246" s="2">
        <v>-21255.62</v>
      </c>
      <c r="AW246" s="1">
        <v>242</v>
      </c>
    </row>
    <row r="247" spans="1:49" ht="12.75">
      <c r="A247" s="5">
        <v>3020</v>
      </c>
      <c r="B247" s="2" t="s">
        <v>854</v>
      </c>
      <c r="C247" s="305">
        <v>-41692.8</v>
      </c>
      <c r="D247" s="305">
        <v>0</v>
      </c>
      <c r="E247" s="305">
        <v>-37593.77</v>
      </c>
      <c r="F247" s="305">
        <v>-486244.99</v>
      </c>
      <c r="G247" s="305">
        <v>0</v>
      </c>
      <c r="H247" s="305">
        <v>-124217.77</v>
      </c>
      <c r="I247" s="305">
        <v>0</v>
      </c>
      <c r="J247" s="1" t="s">
        <v>681</v>
      </c>
      <c r="K247" s="3" t="s">
        <v>982</v>
      </c>
      <c r="L247" s="365"/>
      <c r="M247" s="2">
        <v>-486244.99</v>
      </c>
      <c r="N247" s="311">
        <v>310</v>
      </c>
      <c r="O247" s="310" t="s">
        <v>1110</v>
      </c>
      <c r="P247" s="309">
        <v>40</v>
      </c>
      <c r="Q247" s="60" t="s">
        <v>456</v>
      </c>
      <c r="R247" s="309">
        <v>5019</v>
      </c>
      <c r="S247" s="60" t="s">
        <v>679</v>
      </c>
      <c r="T247" s="61">
        <v>120</v>
      </c>
      <c r="U247" s="60" t="s">
        <v>382</v>
      </c>
      <c r="V247" s="1">
        <v>3</v>
      </c>
      <c r="W247" s="1" t="s">
        <v>20</v>
      </c>
      <c r="X247" s="1" t="s">
        <v>1119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-47038.68</v>
      </c>
      <c r="AI247" s="2">
        <v>-39585.32</v>
      </c>
      <c r="AJ247" s="2">
        <v>-37593.77</v>
      </c>
      <c r="AK247" s="2">
        <v>-30388.1</v>
      </c>
      <c r="AL247" s="2">
        <v>-29571.74</v>
      </c>
      <c r="AM247" s="2">
        <v>-39764.28</v>
      </c>
      <c r="AN247" s="2">
        <v>-44015.02</v>
      </c>
      <c r="AO247" s="2">
        <v>-48408.87</v>
      </c>
      <c r="AP247" s="2">
        <v>-45699.57</v>
      </c>
      <c r="AQ247" s="2">
        <v>-45945.47</v>
      </c>
      <c r="AR247" s="2">
        <v>-42222.11</v>
      </c>
      <c r="AS247" s="2">
        <v>-39443.42</v>
      </c>
      <c r="AT247" s="2">
        <v>-40337.2</v>
      </c>
      <c r="AU247" s="2">
        <v>-38756.41</v>
      </c>
      <c r="AV247" s="2">
        <v>-41692.8</v>
      </c>
      <c r="AW247" s="1">
        <v>243</v>
      </c>
    </row>
    <row r="248" spans="1:49" ht="12.75">
      <c r="A248" s="5">
        <v>3020</v>
      </c>
      <c r="B248" s="2" t="s">
        <v>855</v>
      </c>
      <c r="C248" s="305">
        <v>-54729.64</v>
      </c>
      <c r="D248" s="305">
        <v>0</v>
      </c>
      <c r="E248" s="305">
        <v>-42459.98</v>
      </c>
      <c r="F248" s="305">
        <v>-523838.64</v>
      </c>
      <c r="G248" s="305">
        <v>0</v>
      </c>
      <c r="H248" s="305">
        <v>-103398.14</v>
      </c>
      <c r="I248" s="305">
        <v>0</v>
      </c>
      <c r="J248" s="1" t="s">
        <v>683</v>
      </c>
      <c r="K248" s="3" t="s">
        <v>982</v>
      </c>
      <c r="L248" s="365"/>
      <c r="M248" s="2">
        <v>-523838.64</v>
      </c>
      <c r="N248" s="311">
        <v>310</v>
      </c>
      <c r="O248" s="310" t="s">
        <v>1110</v>
      </c>
      <c r="P248" s="309">
        <v>40</v>
      </c>
      <c r="Q248" s="60" t="s">
        <v>456</v>
      </c>
      <c r="R248" s="309">
        <v>5019</v>
      </c>
      <c r="S248" s="60" t="s">
        <v>679</v>
      </c>
      <c r="T248" s="61">
        <v>120</v>
      </c>
      <c r="U248" s="60" t="s">
        <v>382</v>
      </c>
      <c r="V248" s="1">
        <v>3</v>
      </c>
      <c r="W248" s="1" t="s">
        <v>20</v>
      </c>
      <c r="X248" s="1" t="s">
        <v>1119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-31660.85</v>
      </c>
      <c r="AI248" s="2">
        <v>-29277.31</v>
      </c>
      <c r="AJ248" s="2">
        <v>-42459.98</v>
      </c>
      <c r="AK248" s="2">
        <v>-33210.45</v>
      </c>
      <c r="AL248" s="2">
        <v>-31168.68</v>
      </c>
      <c r="AM248" s="2">
        <v>-32218.29</v>
      </c>
      <c r="AN248" s="2">
        <v>-35125.12</v>
      </c>
      <c r="AO248" s="2">
        <v>-47098.82</v>
      </c>
      <c r="AP248" s="2">
        <v>-44066.97</v>
      </c>
      <c r="AQ248" s="2">
        <v>-33831.34</v>
      </c>
      <c r="AR248" s="2">
        <v>-47846.86</v>
      </c>
      <c r="AS248" s="2">
        <v>-56279.98</v>
      </c>
      <c r="AT248" s="2">
        <v>-52667.74</v>
      </c>
      <c r="AU248" s="2">
        <v>-55594.75</v>
      </c>
      <c r="AV248" s="2">
        <v>-54729.64</v>
      </c>
      <c r="AW248" s="1">
        <v>244</v>
      </c>
    </row>
    <row r="249" spans="1:49" ht="12.75">
      <c r="A249" s="5">
        <v>3020</v>
      </c>
      <c r="B249" s="2" t="s">
        <v>856</v>
      </c>
      <c r="C249" s="305">
        <v>-590.41</v>
      </c>
      <c r="D249" s="305">
        <v>0</v>
      </c>
      <c r="E249" s="305">
        <v>-604.32</v>
      </c>
      <c r="F249" s="305">
        <v>-4179.79</v>
      </c>
      <c r="G249" s="305">
        <v>0</v>
      </c>
      <c r="H249" s="305">
        <v>-1033.85</v>
      </c>
      <c r="I249" s="305">
        <v>0</v>
      </c>
      <c r="J249" s="1" t="s">
        <v>685</v>
      </c>
      <c r="K249" s="3" t="s">
        <v>982</v>
      </c>
      <c r="L249" s="365"/>
      <c r="M249" s="2">
        <v>-4179.79</v>
      </c>
      <c r="N249" s="311">
        <v>310</v>
      </c>
      <c r="O249" s="310" t="s">
        <v>1110</v>
      </c>
      <c r="P249" s="309">
        <v>40</v>
      </c>
      <c r="Q249" s="60" t="s">
        <v>456</v>
      </c>
      <c r="R249" s="309">
        <v>5019</v>
      </c>
      <c r="S249" s="60" t="s">
        <v>679</v>
      </c>
      <c r="T249" s="61">
        <v>120</v>
      </c>
      <c r="U249" s="60" t="s">
        <v>382</v>
      </c>
      <c r="V249" s="1">
        <v>3</v>
      </c>
      <c r="W249" s="1" t="s">
        <v>20</v>
      </c>
      <c r="X249" s="1" t="s">
        <v>1119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-133.03</v>
      </c>
      <c r="AI249" s="2">
        <v>-296.5</v>
      </c>
      <c r="AJ249" s="2">
        <v>-604.32</v>
      </c>
      <c r="AK249" s="2">
        <v>-415.64</v>
      </c>
      <c r="AL249" s="2">
        <v>-51.3</v>
      </c>
      <c r="AM249" s="2">
        <v>-219.99</v>
      </c>
      <c r="AN249" s="2">
        <v>-455.62</v>
      </c>
      <c r="AO249" s="2">
        <v>-526.93</v>
      </c>
      <c r="AP249" s="2">
        <v>-420.85</v>
      </c>
      <c r="AQ249" s="2">
        <v>-296.5</v>
      </c>
      <c r="AR249" s="2">
        <v>-499.98</v>
      </c>
      <c r="AS249" s="2">
        <v>-390.41</v>
      </c>
      <c r="AT249" s="2">
        <v>-42.61</v>
      </c>
      <c r="AU249" s="2">
        <v>-269.55</v>
      </c>
      <c r="AV249" s="2">
        <v>-590.41</v>
      </c>
      <c r="AW249" s="1">
        <v>245</v>
      </c>
    </row>
    <row r="250" spans="1:49" ht="12.75">
      <c r="A250" s="5">
        <v>3020</v>
      </c>
      <c r="B250" s="2" t="s">
        <v>857</v>
      </c>
      <c r="C250" s="305">
        <v>-2681.76</v>
      </c>
      <c r="D250" s="305">
        <v>0</v>
      </c>
      <c r="E250" s="305">
        <v>-1647.82</v>
      </c>
      <c r="F250" s="305">
        <v>-23675.67</v>
      </c>
      <c r="G250" s="305">
        <v>0</v>
      </c>
      <c r="H250" s="305">
        <v>-4565.15</v>
      </c>
      <c r="I250" s="305">
        <v>0</v>
      </c>
      <c r="J250" s="1" t="s">
        <v>687</v>
      </c>
      <c r="K250" s="3" t="s">
        <v>982</v>
      </c>
      <c r="L250" s="365"/>
      <c r="M250" s="2">
        <v>-23675.67</v>
      </c>
      <c r="N250" s="311">
        <v>310</v>
      </c>
      <c r="O250" s="310" t="s">
        <v>1110</v>
      </c>
      <c r="P250" s="309">
        <v>40</v>
      </c>
      <c r="Q250" s="60" t="s">
        <v>456</v>
      </c>
      <c r="R250" s="309">
        <v>5019</v>
      </c>
      <c r="S250" s="60" t="s">
        <v>679</v>
      </c>
      <c r="T250" s="61">
        <v>120</v>
      </c>
      <c r="U250" s="60" t="s">
        <v>382</v>
      </c>
      <c r="V250" s="1">
        <v>3</v>
      </c>
      <c r="W250" s="1" t="s">
        <v>20</v>
      </c>
      <c r="X250" s="1" t="s">
        <v>1119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-1665.21</v>
      </c>
      <c r="AI250" s="2">
        <v>-1252.12</v>
      </c>
      <c r="AJ250" s="2">
        <v>-1647.82</v>
      </c>
      <c r="AK250" s="2">
        <v>-1494.75</v>
      </c>
      <c r="AL250" s="2">
        <v>-822.6</v>
      </c>
      <c r="AM250" s="2">
        <v>-1516.5</v>
      </c>
      <c r="AN250" s="2">
        <v>-1657.39</v>
      </c>
      <c r="AO250" s="2">
        <v>-2051.31</v>
      </c>
      <c r="AP250" s="2">
        <v>-2166.96</v>
      </c>
      <c r="AQ250" s="2">
        <v>-1665.23</v>
      </c>
      <c r="AR250" s="2">
        <v>-2557.41</v>
      </c>
      <c r="AS250" s="2">
        <v>-2899.14</v>
      </c>
      <c r="AT250" s="2">
        <v>-2320</v>
      </c>
      <c r="AU250" s="2">
        <v>-1842.62</v>
      </c>
      <c r="AV250" s="2">
        <v>-2681.76</v>
      </c>
      <c r="AW250" s="1">
        <v>246</v>
      </c>
    </row>
    <row r="251" spans="1:49" ht="12.75">
      <c r="A251" s="5">
        <v>3020</v>
      </c>
      <c r="B251" s="2" t="s">
        <v>858</v>
      </c>
      <c r="C251" s="305">
        <v>-51253</v>
      </c>
      <c r="D251" s="305">
        <v>0</v>
      </c>
      <c r="E251" s="305">
        <v>-61764.35</v>
      </c>
      <c r="F251" s="305">
        <v>-828755.57</v>
      </c>
      <c r="G251" s="305">
        <v>0</v>
      </c>
      <c r="H251" s="305">
        <v>-207059.95</v>
      </c>
      <c r="I251" s="305">
        <v>0</v>
      </c>
      <c r="J251" s="1" t="s">
        <v>689</v>
      </c>
      <c r="K251" s="3" t="s">
        <v>982</v>
      </c>
      <c r="L251" s="365"/>
      <c r="M251" s="2">
        <v>-828755.57</v>
      </c>
      <c r="N251" s="311">
        <v>310</v>
      </c>
      <c r="O251" s="310" t="s">
        <v>1110</v>
      </c>
      <c r="P251" s="309">
        <v>40</v>
      </c>
      <c r="Q251" s="60" t="s">
        <v>456</v>
      </c>
      <c r="R251" s="309">
        <v>5019</v>
      </c>
      <c r="S251" s="60" t="s">
        <v>679</v>
      </c>
      <c r="T251" s="61">
        <v>120</v>
      </c>
      <c r="U251" s="60" t="s">
        <v>382</v>
      </c>
      <c r="V251" s="1">
        <v>3</v>
      </c>
      <c r="W251" s="1" t="s">
        <v>20</v>
      </c>
      <c r="X251" s="1" t="s">
        <v>1119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-75893.89</v>
      </c>
      <c r="AI251" s="2">
        <v>-69401.71</v>
      </c>
      <c r="AJ251" s="2">
        <v>-61764.35</v>
      </c>
      <c r="AK251" s="2">
        <v>-62540.87</v>
      </c>
      <c r="AL251" s="2">
        <v>-58757.43</v>
      </c>
      <c r="AM251" s="2">
        <v>-77722.62</v>
      </c>
      <c r="AN251" s="2">
        <v>-77428.66</v>
      </c>
      <c r="AO251" s="2">
        <v>-74084.39</v>
      </c>
      <c r="AP251" s="2">
        <v>-76093.04</v>
      </c>
      <c r="AQ251" s="2">
        <v>-63687.85</v>
      </c>
      <c r="AR251" s="2">
        <v>-70779.27</v>
      </c>
      <c r="AS251" s="2">
        <v>-78885.15</v>
      </c>
      <c r="AT251" s="2">
        <v>-70716.54</v>
      </c>
      <c r="AU251" s="2">
        <v>-66806.75</v>
      </c>
      <c r="AV251" s="2">
        <v>-51253</v>
      </c>
      <c r="AW251" s="1">
        <v>247</v>
      </c>
    </row>
    <row r="252" spans="1:49" ht="12.75">
      <c r="A252" s="5">
        <v>3020</v>
      </c>
      <c r="B252" s="2" t="s">
        <v>1165</v>
      </c>
      <c r="C252" s="305">
        <v>-1538.24</v>
      </c>
      <c r="D252" s="305">
        <v>0</v>
      </c>
      <c r="E252" s="305">
        <v>-706.09</v>
      </c>
      <c r="F252" s="305">
        <v>-10465.08</v>
      </c>
      <c r="G252" s="305">
        <v>0</v>
      </c>
      <c r="H252" s="305">
        <v>-2118.27</v>
      </c>
      <c r="I252" s="305">
        <v>0</v>
      </c>
      <c r="J252" s="1" t="s">
        <v>885</v>
      </c>
      <c r="K252" s="3" t="s">
        <v>982</v>
      </c>
      <c r="L252" s="365"/>
      <c r="M252" s="2">
        <v>-10465.08</v>
      </c>
      <c r="N252" s="311">
        <v>310</v>
      </c>
      <c r="O252" s="310" t="s">
        <v>1110</v>
      </c>
      <c r="P252" s="309">
        <v>40</v>
      </c>
      <c r="Q252" s="60" t="s">
        <v>456</v>
      </c>
      <c r="R252" s="309">
        <v>5019</v>
      </c>
      <c r="S252" s="60" t="s">
        <v>679</v>
      </c>
      <c r="T252" s="61">
        <v>120</v>
      </c>
      <c r="U252" s="60" t="s">
        <v>382</v>
      </c>
      <c r="V252" s="1">
        <v>3</v>
      </c>
      <c r="W252" s="1" t="s">
        <v>20</v>
      </c>
      <c r="X252" s="1" t="s">
        <v>1119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-630.44</v>
      </c>
      <c r="AI252" s="2">
        <v>-781.74</v>
      </c>
      <c r="AJ252" s="2">
        <v>-706.09</v>
      </c>
      <c r="AK252" s="2">
        <v>-882.61</v>
      </c>
      <c r="AL252" s="2">
        <v>-378.24</v>
      </c>
      <c r="AM252" s="2">
        <v>-680.84</v>
      </c>
      <c r="AN252" s="2">
        <v>-605.24</v>
      </c>
      <c r="AO252" s="2">
        <v>-630.43</v>
      </c>
      <c r="AP252" s="2">
        <v>-605.21</v>
      </c>
      <c r="AQ252" s="2">
        <v>-327.83</v>
      </c>
      <c r="AR252" s="2">
        <v>-529.57</v>
      </c>
      <c r="AS252" s="2">
        <v>-1235.63</v>
      </c>
      <c r="AT252" s="2">
        <v>-1386.93</v>
      </c>
      <c r="AU252" s="2">
        <v>-1664.31</v>
      </c>
      <c r="AV252" s="2">
        <v>-1538.24</v>
      </c>
      <c r="AW252" s="1">
        <v>248</v>
      </c>
    </row>
    <row r="253" spans="1:49" ht="12.75">
      <c r="A253" s="5">
        <v>3020</v>
      </c>
      <c r="B253" s="2" t="s">
        <v>859</v>
      </c>
      <c r="C253" s="305">
        <v>-2956.52</v>
      </c>
      <c r="D253" s="305">
        <v>0</v>
      </c>
      <c r="E253" s="305">
        <v>-4362.66</v>
      </c>
      <c r="F253" s="305">
        <v>-119240.93</v>
      </c>
      <c r="G253" s="305">
        <v>0</v>
      </c>
      <c r="H253" s="305">
        <v>-22162.76</v>
      </c>
      <c r="I253" s="305">
        <v>0</v>
      </c>
      <c r="J253" s="1" t="s">
        <v>693</v>
      </c>
      <c r="K253" s="3" t="s">
        <v>982</v>
      </c>
      <c r="L253" s="365"/>
      <c r="M253" s="2">
        <v>-119240.93</v>
      </c>
      <c r="N253" s="311">
        <v>310</v>
      </c>
      <c r="O253" s="310" t="s">
        <v>1110</v>
      </c>
      <c r="P253" s="309">
        <v>40</v>
      </c>
      <c r="Q253" s="60" t="s">
        <v>456</v>
      </c>
      <c r="R253" s="309">
        <v>5019</v>
      </c>
      <c r="S253" s="60" t="s">
        <v>679</v>
      </c>
      <c r="T253" s="61">
        <v>120</v>
      </c>
      <c r="U253" s="60" t="s">
        <v>382</v>
      </c>
      <c r="V253" s="1">
        <v>3</v>
      </c>
      <c r="W253" s="1" t="s">
        <v>20</v>
      </c>
      <c r="X253" s="1" t="s">
        <v>1119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-12253.97</v>
      </c>
      <c r="AI253" s="2">
        <v>-5546.13</v>
      </c>
      <c r="AJ253" s="2">
        <v>-4362.66</v>
      </c>
      <c r="AK253" s="2">
        <v>-4456.53</v>
      </c>
      <c r="AL253" s="2">
        <v>-5061.75</v>
      </c>
      <c r="AM253" s="2">
        <v>-21776.52</v>
      </c>
      <c r="AN253" s="2">
        <v>-17645.21</v>
      </c>
      <c r="AO253" s="2">
        <v>-12262.61</v>
      </c>
      <c r="AP253" s="2">
        <v>-11157.4</v>
      </c>
      <c r="AQ253" s="2">
        <v>-13476.51</v>
      </c>
      <c r="AR253" s="2">
        <v>-13534.81</v>
      </c>
      <c r="AS253" s="2">
        <v>-7165.21</v>
      </c>
      <c r="AT253" s="2">
        <v>-6369.58</v>
      </c>
      <c r="AU253" s="2">
        <v>-3378.28</v>
      </c>
      <c r="AV253" s="2">
        <v>-2956.52</v>
      </c>
      <c r="AW253" s="1">
        <v>249</v>
      </c>
    </row>
    <row r="254" spans="1:49" ht="12.75">
      <c r="A254" s="5">
        <v>3020</v>
      </c>
      <c r="B254" s="2" t="s">
        <v>860</v>
      </c>
      <c r="C254" s="305">
        <v>-5162.67</v>
      </c>
      <c r="D254" s="305">
        <v>0</v>
      </c>
      <c r="E254" s="305">
        <v>-2949.55</v>
      </c>
      <c r="F254" s="305">
        <v>-51289.04</v>
      </c>
      <c r="G254" s="305">
        <v>0</v>
      </c>
      <c r="H254" s="305">
        <v>-10713.93</v>
      </c>
      <c r="I254" s="305">
        <v>0</v>
      </c>
      <c r="J254" s="1" t="s">
        <v>697</v>
      </c>
      <c r="K254" s="3" t="s">
        <v>982</v>
      </c>
      <c r="L254" s="365"/>
      <c r="M254" s="2">
        <v>-51289.04</v>
      </c>
      <c r="N254" s="311">
        <v>310</v>
      </c>
      <c r="O254" s="310" t="s">
        <v>1110</v>
      </c>
      <c r="P254" s="309">
        <v>40</v>
      </c>
      <c r="Q254" s="60" t="s">
        <v>456</v>
      </c>
      <c r="R254" s="309">
        <v>5021</v>
      </c>
      <c r="S254" s="60" t="s">
        <v>201</v>
      </c>
      <c r="T254" s="61">
        <v>130</v>
      </c>
      <c r="U254" s="60" t="s">
        <v>502</v>
      </c>
      <c r="V254" s="1">
        <v>3</v>
      </c>
      <c r="W254" s="1" t="s">
        <v>20</v>
      </c>
      <c r="X254" s="1" t="s">
        <v>1156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-4310.47</v>
      </c>
      <c r="AI254" s="2">
        <v>-3453.91</v>
      </c>
      <c r="AJ254" s="2">
        <v>-2949.55</v>
      </c>
      <c r="AK254" s="2">
        <v>-3060.9</v>
      </c>
      <c r="AL254" s="2">
        <v>-3102.61</v>
      </c>
      <c r="AM254" s="2">
        <v>-3815.91</v>
      </c>
      <c r="AN254" s="2">
        <v>-4620.26</v>
      </c>
      <c r="AO254" s="2">
        <v>-5280.13</v>
      </c>
      <c r="AP254" s="2">
        <v>-3865.36</v>
      </c>
      <c r="AQ254" s="2">
        <v>-4875.74</v>
      </c>
      <c r="AR254" s="2">
        <v>-4646.98</v>
      </c>
      <c r="AS254" s="2">
        <v>-3936.56</v>
      </c>
      <c r="AT254" s="2">
        <v>-4459.19</v>
      </c>
      <c r="AU254" s="2">
        <v>-4462.73</v>
      </c>
      <c r="AV254" s="2">
        <v>-5162.67</v>
      </c>
      <c r="AW254" s="1">
        <v>250</v>
      </c>
    </row>
    <row r="255" spans="1:49" ht="12.75">
      <c r="A255" s="5">
        <v>3020</v>
      </c>
      <c r="B255" s="2" t="s">
        <v>861</v>
      </c>
      <c r="C255" s="305">
        <v>-21364.01</v>
      </c>
      <c r="D255" s="305">
        <v>0</v>
      </c>
      <c r="E255" s="305">
        <v>-11152.54</v>
      </c>
      <c r="F255" s="305">
        <v>-53289.56</v>
      </c>
      <c r="G255" s="305">
        <v>0</v>
      </c>
      <c r="H255" s="305">
        <v>-22219.6</v>
      </c>
      <c r="I255" s="305">
        <v>0</v>
      </c>
      <c r="J255" s="1" t="s">
        <v>699</v>
      </c>
      <c r="K255" s="3" t="s">
        <v>982</v>
      </c>
      <c r="L255" s="365"/>
      <c r="M255" s="2">
        <v>-53289.56</v>
      </c>
      <c r="N255" s="311">
        <v>310</v>
      </c>
      <c r="O255" s="310" t="s">
        <v>1110</v>
      </c>
      <c r="P255" s="309">
        <v>40</v>
      </c>
      <c r="Q255" s="60" t="s">
        <v>456</v>
      </c>
      <c r="R255" s="309">
        <v>5021</v>
      </c>
      <c r="S255" s="60" t="s">
        <v>201</v>
      </c>
      <c r="T255" s="61">
        <v>130</v>
      </c>
      <c r="U255" s="60" t="s">
        <v>502</v>
      </c>
      <c r="V255" s="1">
        <v>3</v>
      </c>
      <c r="W255" s="1" t="s">
        <v>20</v>
      </c>
      <c r="X255" s="1" t="s">
        <v>1156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-2315.41</v>
      </c>
      <c r="AI255" s="2">
        <v>-8751.65</v>
      </c>
      <c r="AJ255" s="2">
        <v>-11152.54</v>
      </c>
      <c r="AK255" s="2">
        <v>-6492.09</v>
      </c>
      <c r="AL255" s="2">
        <v>-2560.52</v>
      </c>
      <c r="AM255" s="2">
        <v>-3844.17</v>
      </c>
      <c r="AN255" s="2">
        <v>-4942.9</v>
      </c>
      <c r="AO255" s="2">
        <v>-2091.84</v>
      </c>
      <c r="AP255" s="2">
        <v>-1693.61</v>
      </c>
      <c r="AQ255" s="2">
        <v>-2005.33</v>
      </c>
      <c r="AR255" s="2">
        <v>-1208.34</v>
      </c>
      <c r="AS255" s="2">
        <v>-976.29</v>
      </c>
      <c r="AT255" s="2">
        <v>-2310.47</v>
      </c>
      <c r="AU255" s="2">
        <v>-3799.99</v>
      </c>
      <c r="AV255" s="2">
        <v>-21364.01</v>
      </c>
      <c r="AW255" s="1">
        <v>251</v>
      </c>
    </row>
    <row r="256" spans="1:49" ht="12.75">
      <c r="A256" s="5">
        <v>3020</v>
      </c>
      <c r="B256" s="2" t="s">
        <v>862</v>
      </c>
      <c r="C256" s="305">
        <v>-91.3</v>
      </c>
      <c r="D256" s="305">
        <v>0</v>
      </c>
      <c r="E256" s="305">
        <v>-250.45</v>
      </c>
      <c r="F256" s="305">
        <v>-897.38</v>
      </c>
      <c r="G256" s="305">
        <v>0</v>
      </c>
      <c r="H256" s="305">
        <v>-320.02</v>
      </c>
      <c r="I256" s="305">
        <v>0</v>
      </c>
      <c r="J256" s="1" t="s">
        <v>701</v>
      </c>
      <c r="K256" s="3" t="s">
        <v>982</v>
      </c>
      <c r="L256" s="365"/>
      <c r="M256" s="2">
        <v>-897.38</v>
      </c>
      <c r="N256" s="311">
        <v>310</v>
      </c>
      <c r="O256" s="310" t="s">
        <v>1110</v>
      </c>
      <c r="P256" s="309">
        <v>40</v>
      </c>
      <c r="Q256" s="60" t="s">
        <v>456</v>
      </c>
      <c r="R256" s="309">
        <v>5021</v>
      </c>
      <c r="S256" s="60" t="s">
        <v>201</v>
      </c>
      <c r="T256" s="61">
        <v>130</v>
      </c>
      <c r="U256" s="60" t="s">
        <v>502</v>
      </c>
      <c r="V256" s="1">
        <v>3</v>
      </c>
      <c r="W256" s="1" t="s">
        <v>20</v>
      </c>
      <c r="X256" s="1" t="s">
        <v>1156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s="2">
        <v>-69.57</v>
      </c>
      <c r="AJ256" s="2">
        <v>-250.45</v>
      </c>
      <c r="AK256" s="2">
        <v>-152.17</v>
      </c>
      <c r="AL256" s="2">
        <v>0</v>
      </c>
      <c r="AM256" s="2">
        <v>-99.13</v>
      </c>
      <c r="AN256" s="2">
        <v>-160.88</v>
      </c>
      <c r="AO256" s="2">
        <v>-21.74</v>
      </c>
      <c r="AP256" s="2">
        <v>-29.57</v>
      </c>
      <c r="AQ256" s="2">
        <v>-21.74</v>
      </c>
      <c r="AR256" s="2">
        <v>0</v>
      </c>
      <c r="AS256" s="2">
        <v>-91.29</v>
      </c>
      <c r="AT256" s="2">
        <v>-23.48</v>
      </c>
      <c r="AU256" s="2">
        <v>-206.08</v>
      </c>
      <c r="AV256" s="2">
        <v>-91.3</v>
      </c>
      <c r="AW256" s="1">
        <v>252</v>
      </c>
    </row>
    <row r="257" spans="1:49" ht="12.75">
      <c r="A257" s="5">
        <v>3020</v>
      </c>
      <c r="B257" s="2" t="s">
        <v>863</v>
      </c>
      <c r="C257" s="305">
        <v>-23421.36</v>
      </c>
      <c r="D257" s="305">
        <v>0</v>
      </c>
      <c r="E257" s="305">
        <v>-24124.8</v>
      </c>
      <c r="F257" s="305">
        <v>-346370.3</v>
      </c>
      <c r="G257" s="305">
        <v>0</v>
      </c>
      <c r="H257" s="305">
        <v>-79534.26</v>
      </c>
      <c r="I257" s="305">
        <v>0</v>
      </c>
      <c r="J257" s="1" t="s">
        <v>703</v>
      </c>
      <c r="K257" s="3" t="s">
        <v>982</v>
      </c>
      <c r="L257" s="365"/>
      <c r="M257" s="2">
        <v>-346370.3</v>
      </c>
      <c r="N257" s="311">
        <v>310</v>
      </c>
      <c r="O257" s="310" t="s">
        <v>1110</v>
      </c>
      <c r="P257" s="309">
        <v>40</v>
      </c>
      <c r="Q257" s="60" t="s">
        <v>456</v>
      </c>
      <c r="R257" s="309">
        <v>5025</v>
      </c>
      <c r="S257" s="60" t="s">
        <v>204</v>
      </c>
      <c r="T257" s="61">
        <v>140</v>
      </c>
      <c r="U257" s="60" t="s">
        <v>504</v>
      </c>
      <c r="V257" s="1">
        <v>3</v>
      </c>
      <c r="W257" s="1" t="s">
        <v>20</v>
      </c>
      <c r="X257" s="1" t="s">
        <v>1128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-30597.82</v>
      </c>
      <c r="AI257" s="2">
        <v>-24811.64</v>
      </c>
      <c r="AJ257" s="2">
        <v>-24124.8</v>
      </c>
      <c r="AK257" s="2">
        <v>-25200.47</v>
      </c>
      <c r="AL257" s="2">
        <v>-21052.15</v>
      </c>
      <c r="AM257" s="2">
        <v>-27874.34</v>
      </c>
      <c r="AN257" s="2">
        <v>-33700.89</v>
      </c>
      <c r="AO257" s="2">
        <v>-38249.61</v>
      </c>
      <c r="AP257" s="2">
        <v>-39125.2</v>
      </c>
      <c r="AQ257" s="2">
        <v>-27885.69</v>
      </c>
      <c r="AR257" s="2">
        <v>-29609.61</v>
      </c>
      <c r="AS257" s="2">
        <v>-28380.83</v>
      </c>
      <c r="AT257" s="2">
        <v>-25793.98</v>
      </c>
      <c r="AU257" s="2">
        <v>-26076.17</v>
      </c>
      <c r="AV257" s="2">
        <v>-23421.36</v>
      </c>
      <c r="AW257" s="1">
        <v>253</v>
      </c>
    </row>
    <row r="258" spans="1:49" ht="12.75">
      <c r="A258" s="5">
        <v>3020</v>
      </c>
      <c r="B258" s="2" t="s">
        <v>864</v>
      </c>
      <c r="C258" s="305">
        <v>-182.6</v>
      </c>
      <c r="D258" s="305">
        <v>0</v>
      </c>
      <c r="E258" s="305">
        <v>-86.1</v>
      </c>
      <c r="F258" s="305">
        <v>-2322.41</v>
      </c>
      <c r="G258" s="305">
        <v>0</v>
      </c>
      <c r="H258" s="305">
        <v>-438.31</v>
      </c>
      <c r="I258" s="305">
        <v>0</v>
      </c>
      <c r="J258" s="1" t="s">
        <v>705</v>
      </c>
      <c r="K258" s="3" t="s">
        <v>982</v>
      </c>
      <c r="L258" s="365"/>
      <c r="M258" s="2">
        <v>-2322.41</v>
      </c>
      <c r="N258" s="311">
        <v>310</v>
      </c>
      <c r="O258" s="310" t="s">
        <v>1110</v>
      </c>
      <c r="P258" s="309">
        <v>40</v>
      </c>
      <c r="Q258" s="60" t="s">
        <v>456</v>
      </c>
      <c r="R258" s="309">
        <v>5025</v>
      </c>
      <c r="S258" s="60" t="s">
        <v>204</v>
      </c>
      <c r="T258" s="61">
        <v>140</v>
      </c>
      <c r="U258" s="60" t="s">
        <v>504</v>
      </c>
      <c r="V258" s="1">
        <v>3</v>
      </c>
      <c r="W258" s="1" t="s">
        <v>20</v>
      </c>
      <c r="X258" s="1" t="s">
        <v>1128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  <c r="AH258" s="2">
        <v>-180.02</v>
      </c>
      <c r="AI258" s="2">
        <v>-172.19</v>
      </c>
      <c r="AJ258" s="2">
        <v>-86.1</v>
      </c>
      <c r="AK258" s="2">
        <v>-200.89</v>
      </c>
      <c r="AL258" s="2">
        <v>-91.3</v>
      </c>
      <c r="AM258" s="2">
        <v>-91.3</v>
      </c>
      <c r="AN258" s="2">
        <v>-295.64</v>
      </c>
      <c r="AO258" s="2">
        <v>-334.74</v>
      </c>
      <c r="AP258" s="2">
        <v>-304.32</v>
      </c>
      <c r="AQ258" s="2">
        <v>-121.72</v>
      </c>
      <c r="AR258" s="2">
        <v>-152.15</v>
      </c>
      <c r="AS258" s="2">
        <v>-121.73</v>
      </c>
      <c r="AT258" s="2">
        <v>-152.15</v>
      </c>
      <c r="AU258" s="2">
        <v>-273.87</v>
      </c>
      <c r="AV258" s="2">
        <v>-182.6</v>
      </c>
      <c r="AW258" s="1">
        <v>254</v>
      </c>
    </row>
    <row r="259" spans="1:49" ht="12.75">
      <c r="A259" s="5">
        <v>3020</v>
      </c>
      <c r="B259" s="2" t="s">
        <v>865</v>
      </c>
      <c r="C259" s="305">
        <v>-17678.25</v>
      </c>
      <c r="D259" s="305">
        <v>0</v>
      </c>
      <c r="E259" s="305">
        <v>-17124.31</v>
      </c>
      <c r="F259" s="305">
        <v>-225224.31</v>
      </c>
      <c r="G259" s="305">
        <v>0</v>
      </c>
      <c r="H259" s="305">
        <v>-53501.61</v>
      </c>
      <c r="I259" s="305">
        <v>0</v>
      </c>
      <c r="J259" s="1" t="s">
        <v>707</v>
      </c>
      <c r="K259" s="3" t="s">
        <v>982</v>
      </c>
      <c r="L259" s="365"/>
      <c r="M259" s="2">
        <v>-225224.31</v>
      </c>
      <c r="N259" s="311">
        <v>310</v>
      </c>
      <c r="O259" s="310" t="s">
        <v>1110</v>
      </c>
      <c r="P259" s="309">
        <v>40</v>
      </c>
      <c r="Q259" s="60" t="s">
        <v>456</v>
      </c>
      <c r="R259" s="309">
        <v>5025</v>
      </c>
      <c r="S259" s="60" t="s">
        <v>204</v>
      </c>
      <c r="T259" s="61">
        <v>140</v>
      </c>
      <c r="U259" s="60" t="s">
        <v>504</v>
      </c>
      <c r="V259" s="1">
        <v>3</v>
      </c>
      <c r="W259" s="1" t="s">
        <v>20</v>
      </c>
      <c r="X259" s="1" t="s">
        <v>1166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-20722.56</v>
      </c>
      <c r="AI259" s="2">
        <v>-15654.74</v>
      </c>
      <c r="AJ259" s="2">
        <v>-17124.31</v>
      </c>
      <c r="AK259" s="2">
        <v>-17974.77</v>
      </c>
      <c r="AL259" s="2">
        <v>-13381.77</v>
      </c>
      <c r="AM259" s="2">
        <v>-18758.26</v>
      </c>
      <c r="AN259" s="2">
        <v>-25913.92</v>
      </c>
      <c r="AO259" s="2">
        <v>-24786.94</v>
      </c>
      <c r="AP259" s="2">
        <v>-24969.54</v>
      </c>
      <c r="AQ259" s="2">
        <v>-17655.64</v>
      </c>
      <c r="AR259" s="2">
        <v>-16866.97</v>
      </c>
      <c r="AS259" s="2">
        <v>-16033.04</v>
      </c>
      <c r="AT259" s="2">
        <v>-16373.9</v>
      </c>
      <c r="AU259" s="2">
        <v>-14831.31</v>
      </c>
      <c r="AV259" s="2">
        <v>-17678.25</v>
      </c>
      <c r="AW259" s="1">
        <v>255</v>
      </c>
    </row>
    <row r="260" spans="1:49" ht="12.75">
      <c r="A260" s="5">
        <v>3020</v>
      </c>
      <c r="B260" s="2" t="s">
        <v>866</v>
      </c>
      <c r="C260" s="305">
        <v>-2383.86</v>
      </c>
      <c r="D260" s="305">
        <v>0</v>
      </c>
      <c r="E260" s="305">
        <v>-2175.33</v>
      </c>
      <c r="F260" s="305">
        <v>-46037.61</v>
      </c>
      <c r="G260" s="305">
        <v>0</v>
      </c>
      <c r="H260" s="305">
        <v>-9079.72</v>
      </c>
      <c r="I260" s="305">
        <v>0</v>
      </c>
      <c r="J260" s="1" t="s">
        <v>709</v>
      </c>
      <c r="K260" s="3" t="s">
        <v>982</v>
      </c>
      <c r="L260" s="365"/>
      <c r="M260" s="2">
        <v>-46037.61</v>
      </c>
      <c r="N260" s="311">
        <v>310</v>
      </c>
      <c r="O260" s="310" t="s">
        <v>1110</v>
      </c>
      <c r="P260" s="309">
        <v>40</v>
      </c>
      <c r="Q260" s="60" t="s">
        <v>456</v>
      </c>
      <c r="R260" s="309">
        <v>5025</v>
      </c>
      <c r="S260" s="60" t="s">
        <v>204</v>
      </c>
      <c r="T260" s="61">
        <v>140</v>
      </c>
      <c r="U260" s="60" t="s">
        <v>504</v>
      </c>
      <c r="V260" s="1">
        <v>3</v>
      </c>
      <c r="W260" s="1" t="s">
        <v>20</v>
      </c>
      <c r="X260" s="1" t="s">
        <v>1130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-4550.01</v>
      </c>
      <c r="AI260" s="2">
        <v>-2354.38</v>
      </c>
      <c r="AJ260" s="2">
        <v>-2175.33</v>
      </c>
      <c r="AK260" s="2">
        <v>-2575.91</v>
      </c>
      <c r="AL260" s="2">
        <v>-1925.98</v>
      </c>
      <c r="AM260" s="2">
        <v>-2997.89</v>
      </c>
      <c r="AN260" s="2">
        <v>-4957.3</v>
      </c>
      <c r="AO260" s="2">
        <v>-5295.19</v>
      </c>
      <c r="AP260" s="2">
        <v>-6654.21</v>
      </c>
      <c r="AQ260" s="2">
        <v>-4835.93</v>
      </c>
      <c r="AR260" s="2">
        <v>-4621.77</v>
      </c>
      <c r="AS260" s="2">
        <v>-4175.93</v>
      </c>
      <c r="AT260" s="2">
        <v>-2637.91</v>
      </c>
      <c r="AU260" s="2">
        <v>-2975.73</v>
      </c>
      <c r="AV260" s="2">
        <v>-2383.86</v>
      </c>
      <c r="AW260" s="1">
        <v>256</v>
      </c>
    </row>
    <row r="261" spans="1:49" ht="12.75">
      <c r="A261" s="5">
        <v>3020</v>
      </c>
      <c r="B261" s="2" t="s">
        <v>867</v>
      </c>
      <c r="C261" s="305">
        <v>-7968.18</v>
      </c>
      <c r="D261" s="305">
        <v>0</v>
      </c>
      <c r="E261" s="305">
        <v>-8342.67</v>
      </c>
      <c r="F261" s="305">
        <v>-140170.81</v>
      </c>
      <c r="G261" s="305">
        <v>0</v>
      </c>
      <c r="H261" s="305">
        <v>-31361.86</v>
      </c>
      <c r="I261" s="305">
        <v>0</v>
      </c>
      <c r="J261" s="1" t="s">
        <v>711</v>
      </c>
      <c r="K261" s="3" t="s">
        <v>982</v>
      </c>
      <c r="L261" s="365"/>
      <c r="M261" s="2">
        <v>-140170.81</v>
      </c>
      <c r="N261" s="311">
        <v>310</v>
      </c>
      <c r="O261" s="310" t="s">
        <v>1110</v>
      </c>
      <c r="P261" s="309">
        <v>40</v>
      </c>
      <c r="Q261" s="60" t="s">
        <v>456</v>
      </c>
      <c r="R261" s="309">
        <v>5025</v>
      </c>
      <c r="S261" s="60" t="s">
        <v>204</v>
      </c>
      <c r="T261" s="61">
        <v>140</v>
      </c>
      <c r="U261" s="60" t="s">
        <v>504</v>
      </c>
      <c r="V261" s="1">
        <v>3</v>
      </c>
      <c r="W261" s="1" t="s">
        <v>20</v>
      </c>
      <c r="X261" s="1" t="s">
        <v>1132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-12565.25</v>
      </c>
      <c r="AI261" s="2">
        <v>-10453.94</v>
      </c>
      <c r="AJ261" s="2">
        <v>-8342.67</v>
      </c>
      <c r="AK261" s="2">
        <v>-8803.07</v>
      </c>
      <c r="AL261" s="2">
        <v>-6197.83</v>
      </c>
      <c r="AM261" s="2">
        <v>-7872.96</v>
      </c>
      <c r="AN261" s="2">
        <v>-15120.82</v>
      </c>
      <c r="AO261" s="2">
        <v>-18012.54</v>
      </c>
      <c r="AP261" s="2">
        <v>-19344.73</v>
      </c>
      <c r="AQ261" s="2">
        <v>-13070.82</v>
      </c>
      <c r="AR261" s="2">
        <v>-13799.96</v>
      </c>
      <c r="AS261" s="2">
        <v>-12523.4</v>
      </c>
      <c r="AT261" s="2">
        <v>-9698.28</v>
      </c>
      <c r="AU261" s="2">
        <v>-7758.22</v>
      </c>
      <c r="AV261" s="2">
        <v>-7968.18</v>
      </c>
      <c r="AW261" s="1">
        <v>257</v>
      </c>
    </row>
    <row r="262" spans="1:49" ht="12.75">
      <c r="A262" s="5">
        <v>3020</v>
      </c>
      <c r="B262" s="2" t="s">
        <v>868</v>
      </c>
      <c r="C262" s="305">
        <v>-12749.39</v>
      </c>
      <c r="D262" s="305">
        <v>0</v>
      </c>
      <c r="E262" s="305">
        <v>-16076.31</v>
      </c>
      <c r="F262" s="305">
        <v>-196987.44</v>
      </c>
      <c r="G262" s="305">
        <v>0</v>
      </c>
      <c r="H262" s="305">
        <v>-56319.98</v>
      </c>
      <c r="I262" s="305">
        <v>0</v>
      </c>
      <c r="J262" s="1" t="s">
        <v>715</v>
      </c>
      <c r="K262" s="3" t="s">
        <v>982</v>
      </c>
      <c r="L262" s="365"/>
      <c r="M262" s="2">
        <v>-196987.44</v>
      </c>
      <c r="N262" s="311">
        <v>310</v>
      </c>
      <c r="O262" s="310" t="s">
        <v>1110</v>
      </c>
      <c r="P262" s="309">
        <v>40</v>
      </c>
      <c r="Q262" s="60" t="s">
        <v>456</v>
      </c>
      <c r="R262" s="309">
        <v>5027</v>
      </c>
      <c r="S262" s="60" t="s">
        <v>206</v>
      </c>
      <c r="T262" s="61">
        <v>160</v>
      </c>
      <c r="U262" s="60" t="s">
        <v>716</v>
      </c>
      <c r="V262" s="1">
        <v>3</v>
      </c>
      <c r="W262" s="1" t="s">
        <v>20</v>
      </c>
      <c r="X262" s="1" t="s">
        <v>1160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-22960.43</v>
      </c>
      <c r="AI262" s="2">
        <v>-17283.24</v>
      </c>
      <c r="AJ262" s="2">
        <v>-16076.31</v>
      </c>
      <c r="AK262" s="2">
        <v>-14436.43</v>
      </c>
      <c r="AL262" s="2">
        <v>-17612.05</v>
      </c>
      <c r="AM262" s="2">
        <v>-15448.9</v>
      </c>
      <c r="AN262" s="2">
        <v>-16305.88</v>
      </c>
      <c r="AO262" s="2">
        <v>-19671.7</v>
      </c>
      <c r="AP262" s="2">
        <v>-17270.61</v>
      </c>
      <c r="AQ262" s="2">
        <v>-15969.92</v>
      </c>
      <c r="AR262" s="2">
        <v>-16019.88</v>
      </c>
      <c r="AS262" s="2">
        <v>-16643.54</v>
      </c>
      <c r="AT262" s="2">
        <v>-17243.79</v>
      </c>
      <c r="AU262" s="2">
        <v>-17615.35</v>
      </c>
      <c r="AV262" s="2">
        <v>-12749.39</v>
      </c>
      <c r="AW262" s="1">
        <v>258</v>
      </c>
    </row>
    <row r="263" spans="1:49" ht="12.75">
      <c r="A263" s="5">
        <v>3020</v>
      </c>
      <c r="B263" s="2" t="s">
        <v>869</v>
      </c>
      <c r="C263" s="305">
        <v>-10284.32</v>
      </c>
      <c r="D263" s="305">
        <v>0</v>
      </c>
      <c r="E263" s="305">
        <v>-10651.28</v>
      </c>
      <c r="F263" s="305">
        <v>-150430.18</v>
      </c>
      <c r="G263" s="305">
        <v>0</v>
      </c>
      <c r="H263" s="305">
        <v>-41257.41</v>
      </c>
      <c r="I263" s="305">
        <v>0</v>
      </c>
      <c r="J263" s="1" t="s">
        <v>718</v>
      </c>
      <c r="K263" s="3" t="s">
        <v>982</v>
      </c>
      <c r="L263" s="365"/>
      <c r="M263" s="2">
        <v>-150430.18</v>
      </c>
      <c r="N263" s="311">
        <v>310</v>
      </c>
      <c r="O263" s="310" t="s">
        <v>1110</v>
      </c>
      <c r="P263" s="309">
        <v>40</v>
      </c>
      <c r="Q263" s="60" t="s">
        <v>456</v>
      </c>
      <c r="R263" s="309">
        <v>5027</v>
      </c>
      <c r="S263" s="60" t="s">
        <v>206</v>
      </c>
      <c r="T263" s="61">
        <v>160</v>
      </c>
      <c r="U263" s="60" t="s">
        <v>716</v>
      </c>
      <c r="V263" s="1">
        <v>3</v>
      </c>
      <c r="W263" s="1" t="s">
        <v>20</v>
      </c>
      <c r="X263" s="1" t="s">
        <v>1160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-17043.47</v>
      </c>
      <c r="AI263" s="2">
        <v>-13562.66</v>
      </c>
      <c r="AJ263" s="2">
        <v>-10651.28</v>
      </c>
      <c r="AK263" s="2">
        <v>-11710.45</v>
      </c>
      <c r="AL263" s="2">
        <v>-12491.31</v>
      </c>
      <c r="AM263" s="2">
        <v>-14326.93</v>
      </c>
      <c r="AN263" s="2">
        <v>-12755.63</v>
      </c>
      <c r="AO263" s="2">
        <v>-16558.24</v>
      </c>
      <c r="AP263" s="2">
        <v>-14392.19</v>
      </c>
      <c r="AQ263" s="2">
        <v>-11217.34</v>
      </c>
      <c r="AR263" s="2">
        <v>-10653.86</v>
      </c>
      <c r="AS263" s="2">
        <v>-10958.24</v>
      </c>
      <c r="AT263" s="2">
        <v>-12666.91</v>
      </c>
      <c r="AU263" s="2">
        <v>-12414.76</v>
      </c>
      <c r="AV263" s="2">
        <v>-10284.32</v>
      </c>
      <c r="AW263" s="1">
        <v>259</v>
      </c>
    </row>
    <row r="264" spans="1:49" ht="12.75">
      <c r="A264" s="5">
        <v>3020</v>
      </c>
      <c r="B264" s="2" t="s">
        <v>870</v>
      </c>
      <c r="C264" s="305">
        <v>-5162.96</v>
      </c>
      <c r="D264" s="305">
        <v>0</v>
      </c>
      <c r="E264" s="305">
        <v>-4842.33</v>
      </c>
      <c r="F264" s="305">
        <v>-71353.42</v>
      </c>
      <c r="G264" s="305">
        <v>0</v>
      </c>
      <c r="H264" s="305">
        <v>-15740.94</v>
      </c>
      <c r="I264" s="305">
        <v>0</v>
      </c>
      <c r="J264" s="1" t="s">
        <v>720</v>
      </c>
      <c r="K264" s="3" t="s">
        <v>982</v>
      </c>
      <c r="L264" s="365"/>
      <c r="M264" s="2">
        <v>-71353.42</v>
      </c>
      <c r="N264" s="311">
        <v>310</v>
      </c>
      <c r="O264" s="310" t="s">
        <v>1110</v>
      </c>
      <c r="P264" s="309">
        <v>40</v>
      </c>
      <c r="Q264" s="60" t="s">
        <v>456</v>
      </c>
      <c r="R264" s="309">
        <v>5027</v>
      </c>
      <c r="S264" s="60" t="s">
        <v>206</v>
      </c>
      <c r="T264" s="61">
        <v>160</v>
      </c>
      <c r="U264" s="60" t="s">
        <v>716</v>
      </c>
      <c r="V264" s="1">
        <v>3</v>
      </c>
      <c r="W264" s="1" t="s">
        <v>20</v>
      </c>
      <c r="X264" s="1" t="s">
        <v>1136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-5908.43</v>
      </c>
      <c r="AI264" s="2">
        <v>-4990.18</v>
      </c>
      <c r="AJ264" s="2">
        <v>-4842.33</v>
      </c>
      <c r="AK264" s="2">
        <v>-5516.75</v>
      </c>
      <c r="AL264" s="2">
        <v>-4583.49</v>
      </c>
      <c r="AM264" s="2">
        <v>-4294.96</v>
      </c>
      <c r="AN264" s="2">
        <v>-7994.09</v>
      </c>
      <c r="AO264" s="2">
        <v>-7839.37</v>
      </c>
      <c r="AP264" s="2">
        <v>-8955.57</v>
      </c>
      <c r="AQ264" s="2">
        <v>-6447.39</v>
      </c>
      <c r="AR264" s="2">
        <v>-5675.15</v>
      </c>
      <c r="AS264" s="2">
        <v>-5179.75</v>
      </c>
      <c r="AT264" s="2">
        <v>-5598.02</v>
      </c>
      <c r="AU264" s="2">
        <v>-4105.92</v>
      </c>
      <c r="AV264" s="2">
        <v>-5162.96</v>
      </c>
      <c r="AW264" s="1">
        <v>260</v>
      </c>
    </row>
    <row r="265" spans="1:49" ht="12.75">
      <c r="A265" s="5">
        <v>3020</v>
      </c>
      <c r="B265" s="2" t="s">
        <v>871</v>
      </c>
      <c r="C265" s="305">
        <v>-11825.21</v>
      </c>
      <c r="D265" s="305">
        <v>0</v>
      </c>
      <c r="E265" s="305">
        <v>-15597.25</v>
      </c>
      <c r="F265" s="305">
        <v>-178030.9</v>
      </c>
      <c r="G265" s="305">
        <v>0</v>
      </c>
      <c r="H265" s="305">
        <v>-55267.11</v>
      </c>
      <c r="I265" s="305">
        <v>0</v>
      </c>
      <c r="J265" s="1" t="s">
        <v>722</v>
      </c>
      <c r="K265" s="3" t="s">
        <v>982</v>
      </c>
      <c r="L265" s="365"/>
      <c r="M265" s="2">
        <v>-178030.9</v>
      </c>
      <c r="N265" s="311">
        <v>310</v>
      </c>
      <c r="O265" s="310" t="s">
        <v>1110</v>
      </c>
      <c r="P265" s="309">
        <v>40</v>
      </c>
      <c r="Q265" s="60" t="s">
        <v>456</v>
      </c>
      <c r="R265" s="309">
        <v>5027</v>
      </c>
      <c r="S265" s="60" t="s">
        <v>206</v>
      </c>
      <c r="T265" s="61">
        <v>160</v>
      </c>
      <c r="U265" s="60" t="s">
        <v>716</v>
      </c>
      <c r="V265" s="1">
        <v>3</v>
      </c>
      <c r="W265" s="1" t="s">
        <v>20</v>
      </c>
      <c r="X265" s="1" t="s">
        <v>1160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-24182.86</v>
      </c>
      <c r="AI265" s="2">
        <v>-15487</v>
      </c>
      <c r="AJ265" s="2">
        <v>-15597.25</v>
      </c>
      <c r="AK265" s="2">
        <v>-16271.2</v>
      </c>
      <c r="AL265" s="2">
        <v>-13618.07</v>
      </c>
      <c r="AM265" s="2">
        <v>-18592.45</v>
      </c>
      <c r="AN265" s="2">
        <v>-24442.84</v>
      </c>
      <c r="AO265" s="2">
        <v>-12669.84</v>
      </c>
      <c r="AP265" s="2">
        <v>-15805.65</v>
      </c>
      <c r="AQ265" s="2">
        <v>-14909.36</v>
      </c>
      <c r="AR265" s="2">
        <v>-12078.98</v>
      </c>
      <c r="AS265" s="2">
        <v>-11694.85</v>
      </c>
      <c r="AT265" s="2">
        <v>-14857.98</v>
      </c>
      <c r="AU265" s="2">
        <v>-11264.47</v>
      </c>
      <c r="AV265" s="2">
        <v>-11825.21</v>
      </c>
      <c r="AW265" s="1">
        <v>261</v>
      </c>
    </row>
    <row r="266" spans="1:49" ht="12.75">
      <c r="A266" s="5">
        <v>3020</v>
      </c>
      <c r="B266" s="2" t="s">
        <v>872</v>
      </c>
      <c r="C266" s="305">
        <v>-3335.65</v>
      </c>
      <c r="D266" s="305">
        <v>0</v>
      </c>
      <c r="E266" s="305">
        <v>-5156.16</v>
      </c>
      <c r="F266" s="305">
        <v>-488404.85</v>
      </c>
      <c r="G266" s="305">
        <v>0</v>
      </c>
      <c r="H266" s="305">
        <v>-20485.65</v>
      </c>
      <c r="I266" s="305">
        <v>0</v>
      </c>
      <c r="J266" s="1" t="s">
        <v>724</v>
      </c>
      <c r="K266" s="3" t="s">
        <v>982</v>
      </c>
      <c r="L266" s="365"/>
      <c r="M266" s="2">
        <v>-488404.85</v>
      </c>
      <c r="N266" s="311">
        <v>310</v>
      </c>
      <c r="O266" s="310" t="s">
        <v>1110</v>
      </c>
      <c r="P266" s="309">
        <v>40</v>
      </c>
      <c r="Q266" s="60" t="s">
        <v>456</v>
      </c>
      <c r="R266" s="309">
        <v>5027</v>
      </c>
      <c r="S266" s="60" t="s">
        <v>206</v>
      </c>
      <c r="T266" s="61">
        <v>160</v>
      </c>
      <c r="U266" s="60" t="s">
        <v>716</v>
      </c>
      <c r="V266" s="1">
        <v>3</v>
      </c>
      <c r="W266" s="1" t="s">
        <v>20</v>
      </c>
      <c r="X266" s="1" t="s">
        <v>1167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-9636.51</v>
      </c>
      <c r="AI266" s="2">
        <v>-5692.98</v>
      </c>
      <c r="AJ266" s="2">
        <v>-5156.16</v>
      </c>
      <c r="AK266" s="2">
        <v>-6545.18</v>
      </c>
      <c r="AL266" s="2">
        <v>-5155.67</v>
      </c>
      <c r="AM266" s="2">
        <v>-12261.76</v>
      </c>
      <c r="AN266" s="2">
        <v>-61192.15</v>
      </c>
      <c r="AO266" s="2">
        <v>-88215.61</v>
      </c>
      <c r="AP266" s="2">
        <v>-99495.53</v>
      </c>
      <c r="AQ266" s="2">
        <v>-72082.53</v>
      </c>
      <c r="AR266" s="2">
        <v>-73750.36</v>
      </c>
      <c r="AS266" s="2">
        <v>-49319.96</v>
      </c>
      <c r="AT266" s="2">
        <v>-11911.31</v>
      </c>
      <c r="AU266" s="2">
        <v>-5139.14</v>
      </c>
      <c r="AV266" s="2">
        <v>-3335.65</v>
      </c>
      <c r="AW266" s="1">
        <v>262</v>
      </c>
    </row>
    <row r="267" spans="1:49" ht="12.75">
      <c r="A267" s="5">
        <v>3020</v>
      </c>
      <c r="B267" s="2" t="s">
        <v>873</v>
      </c>
      <c r="C267" s="305">
        <v>-430.42</v>
      </c>
      <c r="D267" s="305">
        <v>0</v>
      </c>
      <c r="E267" s="305">
        <v>-655.68</v>
      </c>
      <c r="F267" s="305">
        <v>-1219.11</v>
      </c>
      <c r="G267" s="305">
        <v>0</v>
      </c>
      <c r="H267" s="305">
        <v>-1773.1</v>
      </c>
      <c r="I267" s="305">
        <v>0</v>
      </c>
      <c r="J267" s="1" t="s">
        <v>726</v>
      </c>
      <c r="K267" s="3" t="s">
        <v>982</v>
      </c>
      <c r="L267" s="365"/>
      <c r="M267" s="2">
        <v>-1219.11</v>
      </c>
      <c r="N267" s="311">
        <v>310</v>
      </c>
      <c r="O267" s="310" t="s">
        <v>1110</v>
      </c>
      <c r="P267" s="309">
        <v>40</v>
      </c>
      <c r="Q267" s="60" t="s">
        <v>456</v>
      </c>
      <c r="R267" s="309">
        <v>5027</v>
      </c>
      <c r="S267" s="60" t="s">
        <v>206</v>
      </c>
      <c r="T267" s="61">
        <v>160</v>
      </c>
      <c r="U267" s="60" t="s">
        <v>716</v>
      </c>
      <c r="V267" s="1">
        <v>3</v>
      </c>
      <c r="W267" s="1" t="s">
        <v>20</v>
      </c>
      <c r="X267" s="1" t="s">
        <v>1160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-263.48</v>
      </c>
      <c r="AI267" s="2">
        <v>-853.94</v>
      </c>
      <c r="AJ267" s="2">
        <v>-655.68</v>
      </c>
      <c r="AK267" s="2">
        <v>-440.88</v>
      </c>
      <c r="AL267" s="2">
        <v>-166.95</v>
      </c>
      <c r="AM267" s="2">
        <v>-166.95</v>
      </c>
      <c r="AN267" s="2">
        <v>-13.91</v>
      </c>
      <c r="AO267" s="2">
        <v>0</v>
      </c>
      <c r="AP267" s="2">
        <v>0</v>
      </c>
      <c r="AQ267" s="2">
        <v>0</v>
      </c>
      <c r="AR267" s="2">
        <v>0</v>
      </c>
      <c r="AS267" s="2">
        <v>0</v>
      </c>
      <c r="AT267" s="2">
        <v>0</v>
      </c>
      <c r="AU267" s="2">
        <v>0</v>
      </c>
      <c r="AV267" s="2">
        <v>-430.42</v>
      </c>
      <c r="AW267" s="1">
        <v>263</v>
      </c>
    </row>
    <row r="268" spans="1:49" ht="12.75">
      <c r="A268" s="5">
        <v>3020</v>
      </c>
      <c r="B268" s="2" t="s">
        <v>874</v>
      </c>
      <c r="C268" s="305">
        <v>-11571.66</v>
      </c>
      <c r="D268" s="305">
        <v>0</v>
      </c>
      <c r="E268" s="305">
        <v>-14063.1</v>
      </c>
      <c r="F268" s="305">
        <v>-121452.24</v>
      </c>
      <c r="G268" s="305">
        <v>0</v>
      </c>
      <c r="H268" s="305">
        <v>-33325.33</v>
      </c>
      <c r="I268" s="305">
        <v>0</v>
      </c>
      <c r="J268" s="1" t="s">
        <v>728</v>
      </c>
      <c r="K268" s="3" t="s">
        <v>982</v>
      </c>
      <c r="L268" s="365"/>
      <c r="M268" s="2">
        <v>-121452.24</v>
      </c>
      <c r="N268" s="311">
        <v>310</v>
      </c>
      <c r="O268" s="310" t="s">
        <v>1110</v>
      </c>
      <c r="P268" s="309">
        <v>40</v>
      </c>
      <c r="Q268" s="60" t="s">
        <v>456</v>
      </c>
      <c r="R268" s="309">
        <v>5029</v>
      </c>
      <c r="S268" s="60" t="s">
        <v>208</v>
      </c>
      <c r="T268" s="61">
        <v>170</v>
      </c>
      <c r="U268" s="60" t="s">
        <v>501</v>
      </c>
      <c r="V268" s="1">
        <v>3</v>
      </c>
      <c r="W268" s="1" t="s">
        <v>20</v>
      </c>
      <c r="X268" s="1" t="s">
        <v>1168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-9499.04</v>
      </c>
      <c r="AI268" s="2">
        <v>-9763.19</v>
      </c>
      <c r="AJ268" s="2">
        <v>-14063.1</v>
      </c>
      <c r="AK268" s="2">
        <v>-10382.72</v>
      </c>
      <c r="AL268" s="2">
        <v>-10250.66</v>
      </c>
      <c r="AM268" s="2">
        <v>-7666.6</v>
      </c>
      <c r="AN268" s="2">
        <v>-16289.86</v>
      </c>
      <c r="AO268" s="2">
        <v>-12703.39</v>
      </c>
      <c r="AP268" s="2">
        <v>-13479.41</v>
      </c>
      <c r="AQ268" s="2">
        <v>-9500.61</v>
      </c>
      <c r="AR268" s="2">
        <v>-7840.48</v>
      </c>
      <c r="AS268" s="2">
        <v>-7211.31</v>
      </c>
      <c r="AT268" s="2">
        <v>-7982.56</v>
      </c>
      <c r="AU268" s="2">
        <v>-6572.98</v>
      </c>
      <c r="AV268" s="2">
        <v>-11571.66</v>
      </c>
      <c r="AW268" s="1">
        <v>264</v>
      </c>
    </row>
    <row r="269" spans="1:49" ht="12.75">
      <c r="A269" s="5">
        <v>3020</v>
      </c>
      <c r="B269" s="2" t="s">
        <v>280</v>
      </c>
      <c r="C269" s="305">
        <v>0</v>
      </c>
      <c r="D269" s="305">
        <v>0</v>
      </c>
      <c r="E269" s="305">
        <v>0</v>
      </c>
      <c r="F269" s="305">
        <v>0</v>
      </c>
      <c r="G269" s="305">
        <v>0</v>
      </c>
      <c r="H269" s="305">
        <v>-77651.2</v>
      </c>
      <c r="I269" s="305">
        <v>0</v>
      </c>
      <c r="J269" s="1" t="s">
        <v>772</v>
      </c>
      <c r="K269" s="3" t="s">
        <v>982</v>
      </c>
      <c r="L269" s="365"/>
      <c r="M269" s="2">
        <v>0</v>
      </c>
      <c r="N269" s="311">
        <v>310</v>
      </c>
      <c r="O269" s="310" t="s">
        <v>1110</v>
      </c>
      <c r="P269" s="309">
        <v>40</v>
      </c>
      <c r="Q269" s="60" t="s">
        <v>456</v>
      </c>
      <c r="R269" s="309">
        <v>5021</v>
      </c>
      <c r="S269" s="60" t="s">
        <v>201</v>
      </c>
      <c r="T269" s="61">
        <v>130</v>
      </c>
      <c r="U269" s="60" t="s">
        <v>502</v>
      </c>
      <c r="V269" s="1">
        <v>3</v>
      </c>
      <c r="W269" s="1" t="s">
        <v>20</v>
      </c>
      <c r="X269" s="1" t="s">
        <v>1156</v>
      </c>
      <c r="Y269" s="2">
        <v>-14962.85</v>
      </c>
      <c r="Z269" s="2">
        <v>-9267.19</v>
      </c>
      <c r="AA269" s="2">
        <v>-6315</v>
      </c>
      <c r="AB269" s="2">
        <v>-6988.84</v>
      </c>
      <c r="AC269" s="2">
        <v>-9722.45</v>
      </c>
      <c r="AD269" s="2">
        <v>-7222.73</v>
      </c>
      <c r="AE269" s="2">
        <v>-9155.6</v>
      </c>
      <c r="AF269" s="2">
        <v>-7773.81</v>
      </c>
      <c r="AG269" s="2">
        <v>-6242.73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v>0</v>
      </c>
      <c r="AN269" s="2">
        <v>0</v>
      </c>
      <c r="AO269" s="2">
        <v>0</v>
      </c>
      <c r="AP269" s="2">
        <v>0</v>
      </c>
      <c r="AQ269" s="2">
        <v>0</v>
      </c>
      <c r="AR269" s="2">
        <v>0</v>
      </c>
      <c r="AS269" s="2">
        <v>0</v>
      </c>
      <c r="AT269" s="2">
        <v>0</v>
      </c>
      <c r="AU269" s="2">
        <v>0</v>
      </c>
      <c r="AV269" s="2">
        <v>0</v>
      </c>
      <c r="AW269" s="1">
        <v>265</v>
      </c>
    </row>
    <row r="270" spans="1:49" ht="12.75">
      <c r="A270" s="5">
        <v>3020</v>
      </c>
      <c r="B270" s="2" t="s">
        <v>281</v>
      </c>
      <c r="C270" s="305">
        <v>0</v>
      </c>
      <c r="D270" s="305">
        <v>0</v>
      </c>
      <c r="E270" s="305">
        <v>0</v>
      </c>
      <c r="F270" s="305">
        <v>0</v>
      </c>
      <c r="G270" s="305">
        <v>0</v>
      </c>
      <c r="H270" s="305">
        <v>-121.74</v>
      </c>
      <c r="I270" s="305">
        <v>0</v>
      </c>
      <c r="J270" s="1" t="s">
        <v>780</v>
      </c>
      <c r="K270" s="3" t="s">
        <v>982</v>
      </c>
      <c r="L270" s="365"/>
      <c r="M270" s="2">
        <v>0</v>
      </c>
      <c r="N270" s="311">
        <v>310</v>
      </c>
      <c r="O270" s="310" t="s">
        <v>1110</v>
      </c>
      <c r="P270" s="309">
        <v>40</v>
      </c>
      <c r="Q270" s="60" t="s">
        <v>456</v>
      </c>
      <c r="R270" s="309">
        <v>5021</v>
      </c>
      <c r="S270" s="60" t="s">
        <v>201</v>
      </c>
      <c r="T270" s="61">
        <v>120</v>
      </c>
      <c r="U270" s="60" t="s">
        <v>382</v>
      </c>
      <c r="V270" s="1">
        <v>3</v>
      </c>
      <c r="W270" s="1" t="s">
        <v>20</v>
      </c>
      <c r="X270" s="1" t="s">
        <v>1169</v>
      </c>
      <c r="Y270" s="2">
        <v>-104.35</v>
      </c>
      <c r="Z270" s="2">
        <v>-17.39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0</v>
      </c>
      <c r="AO270" s="2">
        <v>0</v>
      </c>
      <c r="AP270" s="2">
        <v>0</v>
      </c>
      <c r="AQ270" s="2">
        <v>0</v>
      </c>
      <c r="AR270" s="2">
        <v>0</v>
      </c>
      <c r="AS270" s="2">
        <v>0</v>
      </c>
      <c r="AT270" s="2">
        <v>0</v>
      </c>
      <c r="AU270" s="2">
        <v>0</v>
      </c>
      <c r="AV270" s="2">
        <v>0</v>
      </c>
      <c r="AW270" s="1">
        <v>266</v>
      </c>
    </row>
    <row r="271" spans="1:49" ht="12.75">
      <c r="A271" s="5">
        <v>3020</v>
      </c>
      <c r="B271" s="2" t="s">
        <v>282</v>
      </c>
      <c r="C271" s="305">
        <v>0</v>
      </c>
      <c r="D271" s="305">
        <v>0</v>
      </c>
      <c r="E271" s="305">
        <v>0</v>
      </c>
      <c r="F271" s="305">
        <v>0</v>
      </c>
      <c r="G271" s="305">
        <v>0</v>
      </c>
      <c r="H271" s="305">
        <v>-443838.57</v>
      </c>
      <c r="I271" s="305">
        <v>0</v>
      </c>
      <c r="J271" s="1" t="s">
        <v>795</v>
      </c>
      <c r="K271" s="3" t="s">
        <v>982</v>
      </c>
      <c r="L271" s="365"/>
      <c r="M271" s="2">
        <v>0</v>
      </c>
      <c r="N271" s="311">
        <v>310</v>
      </c>
      <c r="O271" s="310" t="s">
        <v>1110</v>
      </c>
      <c r="P271" s="309">
        <v>40</v>
      </c>
      <c r="Q271" s="60" t="s">
        <v>456</v>
      </c>
      <c r="R271" s="309">
        <v>5025</v>
      </c>
      <c r="S271" s="60" t="s">
        <v>204</v>
      </c>
      <c r="T271" s="61">
        <v>140</v>
      </c>
      <c r="U271" s="60" t="s">
        <v>504</v>
      </c>
      <c r="V271" s="1">
        <v>3</v>
      </c>
      <c r="W271" s="1" t="s">
        <v>20</v>
      </c>
      <c r="X271" s="1" t="s">
        <v>1128</v>
      </c>
      <c r="Y271" s="2">
        <v>-37780.75</v>
      </c>
      <c r="Z271" s="2">
        <v>-39429.52</v>
      </c>
      <c r="AA271" s="2">
        <v>-39023.25</v>
      </c>
      <c r="AB271" s="2">
        <v>-54802.56</v>
      </c>
      <c r="AC271" s="2">
        <v>-74092.33</v>
      </c>
      <c r="AD271" s="2">
        <v>-57179.69</v>
      </c>
      <c r="AE271" s="2">
        <v>-52376.32</v>
      </c>
      <c r="AF271" s="2">
        <v>-49786.29</v>
      </c>
      <c r="AG271" s="2">
        <v>-39367.86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  <c r="AM271" s="2">
        <v>0</v>
      </c>
      <c r="AN271" s="2">
        <v>0</v>
      </c>
      <c r="AO271" s="2">
        <v>0</v>
      </c>
      <c r="AP271" s="2">
        <v>0</v>
      </c>
      <c r="AQ271" s="2">
        <v>0</v>
      </c>
      <c r="AR271" s="2">
        <v>0</v>
      </c>
      <c r="AS271" s="2">
        <v>0</v>
      </c>
      <c r="AT271" s="2">
        <v>0</v>
      </c>
      <c r="AU271" s="2">
        <v>0</v>
      </c>
      <c r="AV271" s="2">
        <v>0</v>
      </c>
      <c r="AW271" s="1">
        <v>267</v>
      </c>
    </row>
    <row r="272" spans="1:49" ht="12.75">
      <c r="A272" s="5">
        <v>3020</v>
      </c>
      <c r="B272" s="2" t="s">
        <v>283</v>
      </c>
      <c r="C272" s="305">
        <v>0</v>
      </c>
      <c r="D272" s="305">
        <v>0</v>
      </c>
      <c r="E272" s="305">
        <v>0</v>
      </c>
      <c r="F272" s="305">
        <v>0</v>
      </c>
      <c r="G272" s="305">
        <v>0</v>
      </c>
      <c r="H272" s="305">
        <v>-56177.35</v>
      </c>
      <c r="I272" s="305">
        <v>0</v>
      </c>
      <c r="J272" s="1" t="s">
        <v>798</v>
      </c>
      <c r="K272" s="3" t="s">
        <v>982</v>
      </c>
      <c r="L272" s="365"/>
      <c r="M272" s="2">
        <v>0</v>
      </c>
      <c r="N272" s="311">
        <v>310</v>
      </c>
      <c r="O272" s="310" t="s">
        <v>1110</v>
      </c>
      <c r="P272" s="309">
        <v>40</v>
      </c>
      <c r="Q272" s="60" t="s">
        <v>456</v>
      </c>
      <c r="R272" s="309">
        <v>5025</v>
      </c>
      <c r="S272" s="60" t="s">
        <v>204</v>
      </c>
      <c r="T272" s="61">
        <v>140</v>
      </c>
      <c r="U272" s="60" t="s">
        <v>504</v>
      </c>
      <c r="V272" s="1">
        <v>3</v>
      </c>
      <c r="W272" s="1" t="s">
        <v>20</v>
      </c>
      <c r="X272" s="1" t="s">
        <v>1130</v>
      </c>
      <c r="Y272" s="2">
        <v>-2568.11</v>
      </c>
      <c r="Z272" s="2">
        <v>-2940.77</v>
      </c>
      <c r="AA272" s="2">
        <v>-3928.31</v>
      </c>
      <c r="AB272" s="2">
        <v>-6091.24</v>
      </c>
      <c r="AC272" s="2">
        <v>-8475.33</v>
      </c>
      <c r="AD272" s="2">
        <v>-9939.54</v>
      </c>
      <c r="AE272" s="2">
        <v>-9227.83</v>
      </c>
      <c r="AF272" s="2">
        <v>-8568.17</v>
      </c>
      <c r="AG272" s="2">
        <v>-4438.05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  <c r="AM272" s="2">
        <v>0</v>
      </c>
      <c r="AN272" s="2">
        <v>0</v>
      </c>
      <c r="AO272" s="2">
        <v>0</v>
      </c>
      <c r="AP272" s="2">
        <v>0</v>
      </c>
      <c r="AQ272" s="2">
        <v>0</v>
      </c>
      <c r="AR272" s="2">
        <v>0</v>
      </c>
      <c r="AS272" s="2">
        <v>0</v>
      </c>
      <c r="AT272" s="2">
        <v>0</v>
      </c>
      <c r="AU272" s="2">
        <v>0</v>
      </c>
      <c r="AV272" s="2">
        <v>0</v>
      </c>
      <c r="AW272" s="1">
        <v>268</v>
      </c>
    </row>
    <row r="273" spans="1:49" ht="12.75">
      <c r="A273" s="5">
        <v>3020</v>
      </c>
      <c r="B273" s="2" t="s">
        <v>875</v>
      </c>
      <c r="C273" s="305">
        <v>0</v>
      </c>
      <c r="D273" s="305">
        <v>0</v>
      </c>
      <c r="E273" s="305">
        <v>0</v>
      </c>
      <c r="F273" s="305">
        <v>0</v>
      </c>
      <c r="G273" s="305">
        <v>0</v>
      </c>
      <c r="H273" s="305">
        <v>-28452.09</v>
      </c>
      <c r="I273" s="305">
        <v>0</v>
      </c>
      <c r="J273" s="1" t="s">
        <v>800</v>
      </c>
      <c r="K273" s="3" t="s">
        <v>982</v>
      </c>
      <c r="L273" s="365"/>
      <c r="M273" s="2">
        <v>0</v>
      </c>
      <c r="N273" s="311">
        <v>310</v>
      </c>
      <c r="O273" s="310" t="s">
        <v>1110</v>
      </c>
      <c r="P273" s="309">
        <v>40</v>
      </c>
      <c r="Q273" s="60" t="s">
        <v>456</v>
      </c>
      <c r="R273" s="309">
        <v>5025</v>
      </c>
      <c r="S273" s="60" t="s">
        <v>204</v>
      </c>
      <c r="T273" s="61">
        <v>140</v>
      </c>
      <c r="U273" s="60" t="s">
        <v>504</v>
      </c>
      <c r="V273" s="1">
        <v>3</v>
      </c>
      <c r="W273" s="1" t="s">
        <v>20</v>
      </c>
      <c r="X273" s="1" t="s">
        <v>1166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-8263.47</v>
      </c>
      <c r="AG273" s="2">
        <v>-20188.62</v>
      </c>
      <c r="AH273" s="2">
        <v>0</v>
      </c>
      <c r="AI273" s="2">
        <v>0</v>
      </c>
      <c r="AJ273" s="2">
        <v>0</v>
      </c>
      <c r="AK273" s="2">
        <v>0</v>
      </c>
      <c r="AL273" s="2">
        <v>0</v>
      </c>
      <c r="AM273" s="2">
        <v>0</v>
      </c>
      <c r="AN273" s="2">
        <v>0</v>
      </c>
      <c r="AO273" s="2">
        <v>0</v>
      </c>
      <c r="AP273" s="2">
        <v>0</v>
      </c>
      <c r="AQ273" s="2">
        <v>0</v>
      </c>
      <c r="AR273" s="2">
        <v>0</v>
      </c>
      <c r="AS273" s="2">
        <v>0</v>
      </c>
      <c r="AT273" s="2">
        <v>0</v>
      </c>
      <c r="AU273" s="2">
        <v>0</v>
      </c>
      <c r="AV273" s="2">
        <v>0</v>
      </c>
      <c r="AW273" s="1">
        <v>269</v>
      </c>
    </row>
    <row r="274" spans="1:49" ht="12.75">
      <c r="A274" s="5">
        <v>3020</v>
      </c>
      <c r="B274" s="2" t="s">
        <v>284</v>
      </c>
      <c r="C274" s="305">
        <v>0</v>
      </c>
      <c r="D274" s="305">
        <v>0</v>
      </c>
      <c r="E274" s="305">
        <v>0</v>
      </c>
      <c r="F274" s="305">
        <v>0</v>
      </c>
      <c r="G274" s="305">
        <v>0</v>
      </c>
      <c r="H274" s="305">
        <v>-190824.46</v>
      </c>
      <c r="I274" s="305">
        <v>0</v>
      </c>
      <c r="J274" s="1" t="s">
        <v>801</v>
      </c>
      <c r="K274" s="3" t="s">
        <v>982</v>
      </c>
      <c r="L274" s="365"/>
      <c r="M274" s="2">
        <v>0</v>
      </c>
      <c r="N274" s="311">
        <v>310</v>
      </c>
      <c r="O274" s="310" t="s">
        <v>1110</v>
      </c>
      <c r="P274" s="309">
        <v>40</v>
      </c>
      <c r="Q274" s="60" t="s">
        <v>456</v>
      </c>
      <c r="R274" s="309">
        <v>5025</v>
      </c>
      <c r="S274" s="60" t="s">
        <v>204</v>
      </c>
      <c r="T274" s="61">
        <v>140</v>
      </c>
      <c r="U274" s="60" t="s">
        <v>504</v>
      </c>
      <c r="V274" s="1">
        <v>3</v>
      </c>
      <c r="W274" s="1" t="s">
        <v>20</v>
      </c>
      <c r="X274" s="1" t="s">
        <v>1170</v>
      </c>
      <c r="Y274" s="2">
        <v>-16546.11</v>
      </c>
      <c r="Z274" s="2">
        <v>-15716.53</v>
      </c>
      <c r="AA274" s="2">
        <v>-20692.17</v>
      </c>
      <c r="AB274" s="2">
        <v>-29278.22</v>
      </c>
      <c r="AC274" s="2">
        <v>-37776.58</v>
      </c>
      <c r="AD274" s="2">
        <v>-27253.95</v>
      </c>
      <c r="AE274" s="2">
        <v>-27943.52</v>
      </c>
      <c r="AF274" s="2">
        <v>-15617.38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0</v>
      </c>
      <c r="AM274" s="2">
        <v>0</v>
      </c>
      <c r="AN274" s="2">
        <v>0</v>
      </c>
      <c r="AO274" s="2">
        <v>0</v>
      </c>
      <c r="AP274" s="2">
        <v>0</v>
      </c>
      <c r="AQ274" s="2">
        <v>0</v>
      </c>
      <c r="AR274" s="2">
        <v>0</v>
      </c>
      <c r="AS274" s="2">
        <v>0</v>
      </c>
      <c r="AT274" s="2">
        <v>0</v>
      </c>
      <c r="AU274" s="2">
        <v>0</v>
      </c>
      <c r="AV274" s="2">
        <v>0</v>
      </c>
      <c r="AW274" s="1">
        <v>270</v>
      </c>
    </row>
    <row r="275" spans="1:49" ht="12.75">
      <c r="A275" s="5">
        <v>3020</v>
      </c>
      <c r="B275" s="2" t="s">
        <v>285</v>
      </c>
      <c r="C275" s="305">
        <v>0</v>
      </c>
      <c r="D275" s="305">
        <v>0</v>
      </c>
      <c r="E275" s="305">
        <v>0</v>
      </c>
      <c r="F275" s="305">
        <v>0</v>
      </c>
      <c r="G275" s="305">
        <v>0</v>
      </c>
      <c r="H275" s="305">
        <v>-12463.12</v>
      </c>
      <c r="I275" s="305">
        <v>0</v>
      </c>
      <c r="J275" s="1" t="s">
        <v>802</v>
      </c>
      <c r="K275" s="3" t="s">
        <v>982</v>
      </c>
      <c r="L275" s="365"/>
      <c r="M275" s="2">
        <v>0</v>
      </c>
      <c r="N275" s="311">
        <v>310</v>
      </c>
      <c r="O275" s="310" t="s">
        <v>1110</v>
      </c>
      <c r="P275" s="309">
        <v>40</v>
      </c>
      <c r="Q275" s="60" t="s">
        <v>456</v>
      </c>
      <c r="R275" s="309">
        <v>5025</v>
      </c>
      <c r="S275" s="60" t="s">
        <v>204</v>
      </c>
      <c r="T275" s="61">
        <v>140</v>
      </c>
      <c r="U275" s="60" t="s">
        <v>504</v>
      </c>
      <c r="V275" s="1">
        <v>3</v>
      </c>
      <c r="W275" s="1" t="s">
        <v>20</v>
      </c>
      <c r="X275" s="1" t="s">
        <v>1132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-4076.1</v>
      </c>
      <c r="AG275" s="2">
        <v>-8387.02</v>
      </c>
      <c r="AH275" s="2">
        <v>0</v>
      </c>
      <c r="AI275" s="2">
        <v>0</v>
      </c>
      <c r="AJ275" s="2">
        <v>0</v>
      </c>
      <c r="AK275" s="2">
        <v>0</v>
      </c>
      <c r="AL275" s="2">
        <v>0</v>
      </c>
      <c r="AM275" s="2">
        <v>0</v>
      </c>
      <c r="AN275" s="2">
        <v>0</v>
      </c>
      <c r="AO275" s="2">
        <v>0</v>
      </c>
      <c r="AP275" s="2">
        <v>0</v>
      </c>
      <c r="AQ275" s="2">
        <v>0</v>
      </c>
      <c r="AR275" s="2">
        <v>0</v>
      </c>
      <c r="AS275" s="2">
        <v>0</v>
      </c>
      <c r="AT275" s="2">
        <v>0</v>
      </c>
      <c r="AU275" s="2">
        <v>0</v>
      </c>
      <c r="AV275" s="2">
        <v>0</v>
      </c>
      <c r="AW275" s="1">
        <v>271</v>
      </c>
    </row>
    <row r="276" spans="1:49" ht="12.75">
      <c r="A276" s="5">
        <v>3020</v>
      </c>
      <c r="B276" s="2" t="s">
        <v>286</v>
      </c>
      <c r="C276" s="305">
        <v>0</v>
      </c>
      <c r="D276" s="305">
        <v>0</v>
      </c>
      <c r="E276" s="305">
        <v>0</v>
      </c>
      <c r="F276" s="305">
        <v>0</v>
      </c>
      <c r="G276" s="305">
        <v>0</v>
      </c>
      <c r="H276" s="305">
        <v>-72872.07</v>
      </c>
      <c r="I276" s="305">
        <v>0</v>
      </c>
      <c r="J276" s="1" t="s">
        <v>804</v>
      </c>
      <c r="K276" s="3" t="s">
        <v>982</v>
      </c>
      <c r="L276" s="365"/>
      <c r="M276" s="2">
        <v>0</v>
      </c>
      <c r="N276" s="311">
        <v>310</v>
      </c>
      <c r="O276" s="310" t="s">
        <v>1110</v>
      </c>
      <c r="P276" s="309">
        <v>40</v>
      </c>
      <c r="Q276" s="60" t="s">
        <v>456</v>
      </c>
      <c r="R276" s="309">
        <v>5027</v>
      </c>
      <c r="S276" s="60" t="s">
        <v>206</v>
      </c>
      <c r="T276" s="61">
        <v>160</v>
      </c>
      <c r="U276" s="60" t="s">
        <v>716</v>
      </c>
      <c r="V276" s="1">
        <v>3</v>
      </c>
      <c r="W276" s="1" t="s">
        <v>20</v>
      </c>
      <c r="X276" s="1" t="s">
        <v>1136</v>
      </c>
      <c r="Y276" s="2">
        <v>-8247.49</v>
      </c>
      <c r="Z276" s="2">
        <v>-6405.89</v>
      </c>
      <c r="AA276" s="2">
        <v>-6288.98</v>
      </c>
      <c r="AB276" s="2">
        <v>-10019.57</v>
      </c>
      <c r="AC276" s="2">
        <v>-14678.6</v>
      </c>
      <c r="AD276" s="2">
        <v>-7023.4</v>
      </c>
      <c r="AE276" s="2">
        <v>-7632.15</v>
      </c>
      <c r="AF276" s="2">
        <v>-7496.08</v>
      </c>
      <c r="AG276" s="2">
        <v>-5079.91</v>
      </c>
      <c r="AH276" s="2">
        <v>0</v>
      </c>
      <c r="AI276" s="2">
        <v>0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  <c r="AO276" s="2">
        <v>0</v>
      </c>
      <c r="AP276" s="2">
        <v>0</v>
      </c>
      <c r="AQ276" s="2">
        <v>0</v>
      </c>
      <c r="AR276" s="2">
        <v>0</v>
      </c>
      <c r="AS276" s="2">
        <v>0</v>
      </c>
      <c r="AT276" s="2">
        <v>0</v>
      </c>
      <c r="AU276" s="2">
        <v>0</v>
      </c>
      <c r="AV276" s="2">
        <v>0</v>
      </c>
      <c r="AW276" s="1">
        <v>272</v>
      </c>
    </row>
    <row r="277" spans="1:49" ht="12.75">
      <c r="A277" s="5">
        <v>3020</v>
      </c>
      <c r="B277" s="2" t="s">
        <v>287</v>
      </c>
      <c r="C277" s="305">
        <v>0</v>
      </c>
      <c r="D277" s="305">
        <v>0</v>
      </c>
      <c r="E277" s="305">
        <v>0</v>
      </c>
      <c r="F277" s="305">
        <v>0</v>
      </c>
      <c r="G277" s="305">
        <v>0</v>
      </c>
      <c r="H277" s="305">
        <v>-7074.71</v>
      </c>
      <c r="I277" s="305">
        <v>0</v>
      </c>
      <c r="J277" s="1" t="s">
        <v>805</v>
      </c>
      <c r="K277" s="3" t="s">
        <v>982</v>
      </c>
      <c r="L277" s="365"/>
      <c r="M277" s="2">
        <v>0</v>
      </c>
      <c r="N277" s="311">
        <v>310</v>
      </c>
      <c r="O277" s="310" t="s">
        <v>1110</v>
      </c>
      <c r="P277" s="309">
        <v>40</v>
      </c>
      <c r="Q277" s="60" t="s">
        <v>456</v>
      </c>
      <c r="R277" s="309">
        <v>5027</v>
      </c>
      <c r="S277" s="60" t="s">
        <v>206</v>
      </c>
      <c r="T277" s="61">
        <v>160</v>
      </c>
      <c r="U277" s="60" t="s">
        <v>716</v>
      </c>
      <c r="V277" s="1">
        <v>3</v>
      </c>
      <c r="W277" s="1" t="s">
        <v>20</v>
      </c>
      <c r="X277" s="1" t="s">
        <v>1171</v>
      </c>
      <c r="Y277" s="2">
        <v>-674.77</v>
      </c>
      <c r="Z277" s="2">
        <v>-828.68</v>
      </c>
      <c r="AA277" s="2">
        <v>-609.55</v>
      </c>
      <c r="AB277" s="2">
        <v>-1265.19</v>
      </c>
      <c r="AC277" s="2">
        <v>-1183.48</v>
      </c>
      <c r="AD277" s="2">
        <v>-941.74</v>
      </c>
      <c r="AE277" s="2">
        <v>-958.26</v>
      </c>
      <c r="AF277" s="2">
        <v>-613.04</v>
      </c>
      <c r="AG277" s="2">
        <v>0</v>
      </c>
      <c r="AH277" s="2">
        <v>0</v>
      </c>
      <c r="AI277" s="2">
        <v>0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  <c r="AO277" s="2">
        <v>0</v>
      </c>
      <c r="AP277" s="2">
        <v>0</v>
      </c>
      <c r="AQ277" s="2">
        <v>0</v>
      </c>
      <c r="AR277" s="2">
        <v>0</v>
      </c>
      <c r="AS277" s="2">
        <v>0</v>
      </c>
      <c r="AT277" s="2">
        <v>0</v>
      </c>
      <c r="AU277" s="2">
        <v>0</v>
      </c>
      <c r="AV277" s="2">
        <v>0</v>
      </c>
      <c r="AW277" s="1">
        <v>273</v>
      </c>
    </row>
    <row r="278" spans="1:49" ht="12.75">
      <c r="A278" s="5">
        <v>3020</v>
      </c>
      <c r="B278" s="2" t="s">
        <v>288</v>
      </c>
      <c r="C278" s="305">
        <v>0</v>
      </c>
      <c r="D278" s="305">
        <v>0</v>
      </c>
      <c r="E278" s="305">
        <v>0</v>
      </c>
      <c r="F278" s="305">
        <v>0</v>
      </c>
      <c r="G278" s="305">
        <v>0</v>
      </c>
      <c r="H278" s="305">
        <v>-706817.19</v>
      </c>
      <c r="I278" s="305">
        <v>0</v>
      </c>
      <c r="J278" s="1" t="s">
        <v>806</v>
      </c>
      <c r="K278" s="3" t="s">
        <v>982</v>
      </c>
      <c r="L278" s="365"/>
      <c r="M278" s="2">
        <v>0</v>
      </c>
      <c r="N278" s="311">
        <v>310</v>
      </c>
      <c r="O278" s="310" t="s">
        <v>1110</v>
      </c>
      <c r="P278" s="309">
        <v>40</v>
      </c>
      <c r="Q278" s="60" t="s">
        <v>456</v>
      </c>
      <c r="R278" s="309">
        <v>5027</v>
      </c>
      <c r="S278" s="60" t="s">
        <v>206</v>
      </c>
      <c r="T278" s="61">
        <v>160</v>
      </c>
      <c r="U278" s="60" t="s">
        <v>716</v>
      </c>
      <c r="V278" s="1">
        <v>3</v>
      </c>
      <c r="W278" s="1" t="s">
        <v>20</v>
      </c>
      <c r="X278" s="1" t="s">
        <v>1160</v>
      </c>
      <c r="Y278" s="2">
        <v>-65600.89</v>
      </c>
      <c r="Z278" s="2">
        <v>-69892.28</v>
      </c>
      <c r="AA278" s="2">
        <v>-81191.28</v>
      </c>
      <c r="AB278" s="2">
        <v>-82311.3</v>
      </c>
      <c r="AC278" s="2">
        <v>-118042.49</v>
      </c>
      <c r="AD278" s="2">
        <v>-78183.06</v>
      </c>
      <c r="AE278" s="2">
        <v>-78171.48</v>
      </c>
      <c r="AF278" s="2">
        <v>-71754.86</v>
      </c>
      <c r="AG278" s="2">
        <v>-61669.55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  <c r="AO278" s="2">
        <v>0</v>
      </c>
      <c r="AP278" s="2">
        <v>0</v>
      </c>
      <c r="AQ278" s="2">
        <v>0</v>
      </c>
      <c r="AR278" s="2">
        <v>0</v>
      </c>
      <c r="AS278" s="2">
        <v>0</v>
      </c>
      <c r="AT278" s="2">
        <v>0</v>
      </c>
      <c r="AU278" s="2">
        <v>0</v>
      </c>
      <c r="AV278" s="2">
        <v>0</v>
      </c>
      <c r="AW278" s="1">
        <v>274</v>
      </c>
    </row>
    <row r="279" spans="1:49" ht="12.75">
      <c r="A279" s="5">
        <v>3020</v>
      </c>
      <c r="B279" s="2" t="s">
        <v>289</v>
      </c>
      <c r="C279" s="305">
        <v>0</v>
      </c>
      <c r="D279" s="305">
        <v>0</v>
      </c>
      <c r="E279" s="305">
        <v>0</v>
      </c>
      <c r="F279" s="305">
        <v>0</v>
      </c>
      <c r="G279" s="305">
        <v>0</v>
      </c>
      <c r="H279" s="305">
        <v>-600554.46</v>
      </c>
      <c r="I279" s="305">
        <v>0</v>
      </c>
      <c r="J279" s="1" t="s">
        <v>807</v>
      </c>
      <c r="K279" s="3" t="s">
        <v>982</v>
      </c>
      <c r="L279" s="365"/>
      <c r="M279" s="2">
        <v>0</v>
      </c>
      <c r="N279" s="311">
        <v>310</v>
      </c>
      <c r="O279" s="310" t="s">
        <v>1110</v>
      </c>
      <c r="P279" s="309">
        <v>40</v>
      </c>
      <c r="Q279" s="60" t="s">
        <v>456</v>
      </c>
      <c r="R279" s="309">
        <v>5027</v>
      </c>
      <c r="S279" s="60" t="s">
        <v>206</v>
      </c>
      <c r="T279" s="61">
        <v>160</v>
      </c>
      <c r="U279" s="60" t="s">
        <v>716</v>
      </c>
      <c r="V279" s="1">
        <v>3</v>
      </c>
      <c r="W279" s="1" t="s">
        <v>20</v>
      </c>
      <c r="X279" s="1" t="s">
        <v>1167</v>
      </c>
      <c r="Y279" s="2">
        <v>-7444.52</v>
      </c>
      <c r="Z279" s="2">
        <v>-9734.59</v>
      </c>
      <c r="AA279" s="2">
        <v>-23690.51</v>
      </c>
      <c r="AB279" s="2">
        <v>-81242.61</v>
      </c>
      <c r="AC279" s="2">
        <v>-137791.23</v>
      </c>
      <c r="AD279" s="2">
        <v>-116844.52</v>
      </c>
      <c r="AE279" s="2">
        <v>-134252.55</v>
      </c>
      <c r="AF279" s="2">
        <v>-77294.02</v>
      </c>
      <c r="AG279" s="2">
        <v>-12259.91</v>
      </c>
      <c r="AH279" s="2">
        <v>0</v>
      </c>
      <c r="AI279" s="2">
        <v>0</v>
      </c>
      <c r="AJ279" s="2">
        <v>0</v>
      </c>
      <c r="AK279" s="2">
        <v>0</v>
      </c>
      <c r="AL279" s="2">
        <v>0</v>
      </c>
      <c r="AM279" s="2">
        <v>0</v>
      </c>
      <c r="AN279" s="2">
        <v>0</v>
      </c>
      <c r="AO279" s="2">
        <v>0</v>
      </c>
      <c r="AP279" s="2">
        <v>0</v>
      </c>
      <c r="AQ279" s="2">
        <v>0</v>
      </c>
      <c r="AR279" s="2">
        <v>0</v>
      </c>
      <c r="AS279" s="2">
        <v>0</v>
      </c>
      <c r="AT279" s="2">
        <v>0</v>
      </c>
      <c r="AU279" s="2">
        <v>0</v>
      </c>
      <c r="AV279" s="2">
        <v>0</v>
      </c>
      <c r="AW279" s="1">
        <v>275</v>
      </c>
    </row>
    <row r="280" spans="1:49" ht="12.75">
      <c r="A280" s="5">
        <v>3020</v>
      </c>
      <c r="B280" s="2" t="s">
        <v>290</v>
      </c>
      <c r="C280" s="305">
        <v>0</v>
      </c>
      <c r="D280" s="305">
        <v>0</v>
      </c>
      <c r="E280" s="305">
        <v>0</v>
      </c>
      <c r="F280" s="305">
        <v>0</v>
      </c>
      <c r="G280" s="305">
        <v>0</v>
      </c>
      <c r="H280" s="305">
        <v>-1596.1</v>
      </c>
      <c r="I280" s="305">
        <v>0</v>
      </c>
      <c r="J280" s="1" t="s">
        <v>808</v>
      </c>
      <c r="K280" s="3" t="s">
        <v>982</v>
      </c>
      <c r="L280" s="365"/>
      <c r="M280" s="2">
        <v>0</v>
      </c>
      <c r="N280" s="311">
        <v>310</v>
      </c>
      <c r="O280" s="310" t="s">
        <v>1110</v>
      </c>
      <c r="P280" s="309">
        <v>40</v>
      </c>
      <c r="Q280" s="60" t="s">
        <v>456</v>
      </c>
      <c r="R280" s="309">
        <v>5027</v>
      </c>
      <c r="S280" s="60" t="s">
        <v>206</v>
      </c>
      <c r="T280" s="61">
        <v>160</v>
      </c>
      <c r="U280" s="60" t="s">
        <v>716</v>
      </c>
      <c r="V280" s="1">
        <v>3</v>
      </c>
      <c r="W280" s="1" t="s">
        <v>20</v>
      </c>
      <c r="X280" s="1" t="s">
        <v>1172</v>
      </c>
      <c r="Y280" s="2">
        <v>-104.1</v>
      </c>
      <c r="Z280" s="2">
        <v>-138.79</v>
      </c>
      <c r="AA280" s="2">
        <v>-312.27</v>
      </c>
      <c r="AB280" s="2">
        <v>-346.97</v>
      </c>
      <c r="AC280" s="2">
        <v>-242.88</v>
      </c>
      <c r="AD280" s="2">
        <v>-346.99</v>
      </c>
      <c r="AE280" s="2">
        <v>-34.7</v>
      </c>
      <c r="AF280" s="2">
        <v>-69.4</v>
      </c>
      <c r="AG280" s="2">
        <v>0</v>
      </c>
      <c r="AH280" s="2">
        <v>0</v>
      </c>
      <c r="AI280" s="2">
        <v>0</v>
      </c>
      <c r="AJ280" s="2">
        <v>0</v>
      </c>
      <c r="AK280" s="2">
        <v>0</v>
      </c>
      <c r="AL280" s="2">
        <v>0</v>
      </c>
      <c r="AM280" s="2">
        <v>0</v>
      </c>
      <c r="AN280" s="2">
        <v>0</v>
      </c>
      <c r="AO280" s="2">
        <v>0</v>
      </c>
      <c r="AP280" s="2">
        <v>0</v>
      </c>
      <c r="AQ280" s="2">
        <v>0</v>
      </c>
      <c r="AR280" s="2">
        <v>0</v>
      </c>
      <c r="AS280" s="2">
        <v>0</v>
      </c>
      <c r="AT280" s="2">
        <v>0</v>
      </c>
      <c r="AU280" s="2">
        <v>0</v>
      </c>
      <c r="AV280" s="2">
        <v>0</v>
      </c>
      <c r="AW280" s="1">
        <v>276</v>
      </c>
    </row>
    <row r="281" spans="1:49" ht="12.75">
      <c r="A281" s="5">
        <v>3020</v>
      </c>
      <c r="B281" s="2" t="s">
        <v>291</v>
      </c>
      <c r="C281" s="305">
        <v>0</v>
      </c>
      <c r="D281" s="305">
        <v>0</v>
      </c>
      <c r="E281" s="305">
        <v>0</v>
      </c>
      <c r="F281" s="305">
        <v>0</v>
      </c>
      <c r="G281" s="305">
        <v>0</v>
      </c>
      <c r="H281" s="305">
        <v>-23183.21</v>
      </c>
      <c r="I281" s="305">
        <v>0</v>
      </c>
      <c r="J281" s="1" t="s">
        <v>809</v>
      </c>
      <c r="K281" s="3" t="s">
        <v>982</v>
      </c>
      <c r="L281" s="365"/>
      <c r="M281" s="2">
        <v>0</v>
      </c>
      <c r="N281" s="311">
        <v>310</v>
      </c>
      <c r="O281" s="310" t="s">
        <v>1110</v>
      </c>
      <c r="P281" s="309">
        <v>40</v>
      </c>
      <c r="Q281" s="60" t="s">
        <v>456</v>
      </c>
      <c r="R281" s="309">
        <v>5028</v>
      </c>
      <c r="S281" s="60" t="s">
        <v>207</v>
      </c>
      <c r="T281" s="61">
        <v>170</v>
      </c>
      <c r="U281" s="60" t="s">
        <v>501</v>
      </c>
      <c r="V281" s="1">
        <v>3</v>
      </c>
      <c r="W281" s="1" t="s">
        <v>20</v>
      </c>
      <c r="X281" s="1" t="s">
        <v>1173</v>
      </c>
      <c r="Y281" s="2">
        <v>-2187.49</v>
      </c>
      <c r="Z281" s="2">
        <v>-2297.38</v>
      </c>
      <c r="AA281" s="2">
        <v>-1861.03</v>
      </c>
      <c r="AB281" s="2">
        <v>-2628.53</v>
      </c>
      <c r="AC281" s="2">
        <v>-4693.39</v>
      </c>
      <c r="AD281" s="2">
        <v>-2125.91</v>
      </c>
      <c r="AE281" s="2">
        <v>-2790.08</v>
      </c>
      <c r="AF281" s="2">
        <v>-2472.53</v>
      </c>
      <c r="AG281" s="2">
        <v>-2126.87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v>0</v>
      </c>
      <c r="AN281" s="2">
        <v>0</v>
      </c>
      <c r="AO281" s="2">
        <v>0</v>
      </c>
      <c r="AP281" s="2">
        <v>0</v>
      </c>
      <c r="AQ281" s="2">
        <v>0</v>
      </c>
      <c r="AR281" s="2">
        <v>0</v>
      </c>
      <c r="AS281" s="2">
        <v>0</v>
      </c>
      <c r="AT281" s="2">
        <v>0</v>
      </c>
      <c r="AU281" s="2">
        <v>0</v>
      </c>
      <c r="AV281" s="2">
        <v>0</v>
      </c>
      <c r="AW281" s="1">
        <v>277</v>
      </c>
    </row>
    <row r="282" spans="1:49" ht="12.75">
      <c r="A282" s="5">
        <v>3020</v>
      </c>
      <c r="B282" s="2" t="s">
        <v>292</v>
      </c>
      <c r="C282" s="305">
        <v>0</v>
      </c>
      <c r="D282" s="305">
        <v>0</v>
      </c>
      <c r="E282" s="305">
        <v>0</v>
      </c>
      <c r="F282" s="305">
        <v>0</v>
      </c>
      <c r="G282" s="305">
        <v>0</v>
      </c>
      <c r="H282" s="305">
        <v>-57322.28</v>
      </c>
      <c r="I282" s="305">
        <v>0</v>
      </c>
      <c r="J282" s="1" t="s">
        <v>812</v>
      </c>
      <c r="K282" s="3" t="s">
        <v>982</v>
      </c>
      <c r="L282" s="365"/>
      <c r="M282" s="2">
        <v>0</v>
      </c>
      <c r="N282" s="311">
        <v>310</v>
      </c>
      <c r="O282" s="310" t="s">
        <v>1110</v>
      </c>
      <c r="P282" s="309">
        <v>40</v>
      </c>
      <c r="Q282" s="60" t="s">
        <v>456</v>
      </c>
      <c r="R282" s="309">
        <v>5028</v>
      </c>
      <c r="S282" s="60" t="s">
        <v>207</v>
      </c>
      <c r="T282" s="61">
        <v>170</v>
      </c>
      <c r="U282" s="60" t="s">
        <v>501</v>
      </c>
      <c r="V282" s="1">
        <v>3</v>
      </c>
      <c r="W282" s="1" t="s">
        <v>20</v>
      </c>
      <c r="X282" s="1" t="s">
        <v>1174</v>
      </c>
      <c r="Y282" s="2">
        <v>-5081.66</v>
      </c>
      <c r="Z282" s="2">
        <v>-4723.12</v>
      </c>
      <c r="AA282" s="2">
        <v>-5632.35</v>
      </c>
      <c r="AB282" s="2">
        <v>-8214.78</v>
      </c>
      <c r="AC282" s="2">
        <v>-13276.08</v>
      </c>
      <c r="AD282" s="2">
        <v>-4749.53</v>
      </c>
      <c r="AE282" s="2">
        <v>-5543.56</v>
      </c>
      <c r="AF282" s="2">
        <v>-5776.83</v>
      </c>
      <c r="AG282" s="2">
        <v>-4324.37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  <c r="AM282" s="2">
        <v>0</v>
      </c>
      <c r="AN282" s="2">
        <v>0</v>
      </c>
      <c r="AO282" s="2">
        <v>0</v>
      </c>
      <c r="AP282" s="2">
        <v>0</v>
      </c>
      <c r="AQ282" s="2">
        <v>0</v>
      </c>
      <c r="AR282" s="2">
        <v>0</v>
      </c>
      <c r="AS282" s="2">
        <v>0</v>
      </c>
      <c r="AT282" s="2">
        <v>0</v>
      </c>
      <c r="AU282" s="2">
        <v>0</v>
      </c>
      <c r="AV282" s="2">
        <v>0</v>
      </c>
      <c r="AW282" s="1">
        <v>278</v>
      </c>
    </row>
    <row r="283" spans="1:49" ht="12.75">
      <c r="A283" s="5">
        <v>3020</v>
      </c>
      <c r="B283" s="2" t="s">
        <v>293</v>
      </c>
      <c r="C283" s="305">
        <v>0</v>
      </c>
      <c r="D283" s="305">
        <v>0</v>
      </c>
      <c r="E283" s="305">
        <v>0</v>
      </c>
      <c r="F283" s="305">
        <v>0</v>
      </c>
      <c r="G283" s="305">
        <v>0</v>
      </c>
      <c r="H283" s="305">
        <v>-143138.36</v>
      </c>
      <c r="I283" s="305">
        <v>0</v>
      </c>
      <c r="J283" s="1" t="s">
        <v>814</v>
      </c>
      <c r="K283" s="3" t="s">
        <v>982</v>
      </c>
      <c r="L283" s="365"/>
      <c r="M283" s="2">
        <v>0</v>
      </c>
      <c r="N283" s="311">
        <v>310</v>
      </c>
      <c r="O283" s="310" t="s">
        <v>1110</v>
      </c>
      <c r="P283" s="309">
        <v>40</v>
      </c>
      <c r="Q283" s="60" t="s">
        <v>456</v>
      </c>
      <c r="R283" s="309">
        <v>5029</v>
      </c>
      <c r="S283" s="60" t="s">
        <v>208</v>
      </c>
      <c r="T283" s="61">
        <v>170</v>
      </c>
      <c r="U283" s="60" t="s">
        <v>501</v>
      </c>
      <c r="V283" s="1">
        <v>3</v>
      </c>
      <c r="W283" s="1" t="s">
        <v>20</v>
      </c>
      <c r="X283" s="1" t="s">
        <v>1168</v>
      </c>
      <c r="Y283" s="2">
        <v>-15507.15</v>
      </c>
      <c r="Z283" s="2">
        <v>-14871.12</v>
      </c>
      <c r="AA283" s="2">
        <v>-14832.04</v>
      </c>
      <c r="AB283" s="2">
        <v>-20045.7</v>
      </c>
      <c r="AC283" s="2">
        <v>-31534.87</v>
      </c>
      <c r="AD283" s="2">
        <v>-15466.84</v>
      </c>
      <c r="AE283" s="2">
        <v>-14580.32</v>
      </c>
      <c r="AF283" s="2">
        <v>-12808.42</v>
      </c>
      <c r="AG283" s="2">
        <v>-3491.9</v>
      </c>
      <c r="AH283" s="2">
        <v>0</v>
      </c>
      <c r="AI283" s="2">
        <v>0</v>
      </c>
      <c r="AJ283" s="2">
        <v>0</v>
      </c>
      <c r="AK283" s="2">
        <v>0</v>
      </c>
      <c r="AL283" s="2">
        <v>0</v>
      </c>
      <c r="AM283" s="2">
        <v>0</v>
      </c>
      <c r="AN283" s="2">
        <v>0</v>
      </c>
      <c r="AO283" s="2">
        <v>0</v>
      </c>
      <c r="AP283" s="2">
        <v>0</v>
      </c>
      <c r="AQ283" s="2">
        <v>0</v>
      </c>
      <c r="AR283" s="2">
        <v>0</v>
      </c>
      <c r="AS283" s="2">
        <v>0</v>
      </c>
      <c r="AT283" s="2">
        <v>0</v>
      </c>
      <c r="AU283" s="2">
        <v>0</v>
      </c>
      <c r="AV283" s="2">
        <v>0</v>
      </c>
      <c r="AW283" s="1">
        <v>279</v>
      </c>
    </row>
    <row r="284" spans="1:49" ht="12.75">
      <c r="A284" s="5">
        <v>3020</v>
      </c>
      <c r="B284" s="2" t="s">
        <v>294</v>
      </c>
      <c r="C284" s="305">
        <v>0</v>
      </c>
      <c r="D284" s="305">
        <v>0</v>
      </c>
      <c r="E284" s="305">
        <v>0</v>
      </c>
      <c r="F284" s="305">
        <v>0</v>
      </c>
      <c r="G284" s="305">
        <v>0</v>
      </c>
      <c r="H284" s="305">
        <v>-743.49</v>
      </c>
      <c r="I284" s="305">
        <v>0</v>
      </c>
      <c r="J284" s="1" t="s">
        <v>815</v>
      </c>
      <c r="K284" s="3" t="s">
        <v>982</v>
      </c>
      <c r="L284" s="365"/>
      <c r="M284" s="2">
        <v>0</v>
      </c>
      <c r="N284" s="311">
        <v>310</v>
      </c>
      <c r="O284" s="310" t="s">
        <v>1110</v>
      </c>
      <c r="P284" s="309">
        <v>40</v>
      </c>
      <c r="Q284" s="60" t="s">
        <v>456</v>
      </c>
      <c r="R284" s="309">
        <v>5029</v>
      </c>
      <c r="S284" s="60" t="s">
        <v>208</v>
      </c>
      <c r="T284" s="61">
        <v>170</v>
      </c>
      <c r="U284" s="60" t="s">
        <v>501</v>
      </c>
      <c r="V284" s="1">
        <v>3</v>
      </c>
      <c r="W284" s="1" t="s">
        <v>20</v>
      </c>
      <c r="X284" s="1" t="s">
        <v>1175</v>
      </c>
      <c r="Y284" s="2">
        <v>0</v>
      </c>
      <c r="Z284" s="2">
        <v>-330.44</v>
      </c>
      <c r="AA284" s="2">
        <v>-165.22</v>
      </c>
      <c r="AB284" s="2">
        <v>0</v>
      </c>
      <c r="AC284" s="2">
        <v>0</v>
      </c>
      <c r="AD284" s="2">
        <v>-247.83</v>
      </c>
      <c r="AE284" s="2">
        <v>0</v>
      </c>
      <c r="AF284" s="2">
        <v>0</v>
      </c>
      <c r="AG284" s="2">
        <v>0</v>
      </c>
      <c r="AH284" s="2">
        <v>0</v>
      </c>
      <c r="AI284" s="2">
        <v>0</v>
      </c>
      <c r="AJ284" s="2">
        <v>0</v>
      </c>
      <c r="AK284" s="2">
        <v>0</v>
      </c>
      <c r="AL284" s="2">
        <v>0</v>
      </c>
      <c r="AM284" s="2">
        <v>0</v>
      </c>
      <c r="AN284" s="2">
        <v>0</v>
      </c>
      <c r="AO284" s="2">
        <v>0</v>
      </c>
      <c r="AP284" s="2">
        <v>0</v>
      </c>
      <c r="AQ284" s="2">
        <v>0</v>
      </c>
      <c r="AR284" s="2">
        <v>0</v>
      </c>
      <c r="AS284" s="2">
        <v>0</v>
      </c>
      <c r="AT284" s="2">
        <v>0</v>
      </c>
      <c r="AU284" s="2">
        <v>0</v>
      </c>
      <c r="AV284" s="2">
        <v>0</v>
      </c>
      <c r="AW284" s="1">
        <v>280</v>
      </c>
    </row>
    <row r="285" spans="1:49" ht="12.75">
      <c r="A285" s="5">
        <v>3020</v>
      </c>
      <c r="B285" s="2" t="s">
        <v>295</v>
      </c>
      <c r="C285" s="305">
        <v>0</v>
      </c>
      <c r="D285" s="305">
        <v>0</v>
      </c>
      <c r="E285" s="305">
        <v>0</v>
      </c>
      <c r="F285" s="305">
        <v>0</v>
      </c>
      <c r="G285" s="305">
        <v>0</v>
      </c>
      <c r="H285" s="305">
        <v>-10798.48</v>
      </c>
      <c r="I285" s="305">
        <v>0</v>
      </c>
      <c r="J285" s="1" t="s">
        <v>816</v>
      </c>
      <c r="K285" s="3" t="s">
        <v>982</v>
      </c>
      <c r="L285" s="365"/>
      <c r="M285" s="2">
        <v>0</v>
      </c>
      <c r="N285" s="311">
        <v>310</v>
      </c>
      <c r="O285" s="310" t="s">
        <v>1110</v>
      </c>
      <c r="P285" s="309">
        <v>40</v>
      </c>
      <c r="Q285" s="60" t="s">
        <v>456</v>
      </c>
      <c r="R285" s="309">
        <v>5029</v>
      </c>
      <c r="S285" s="60" t="s">
        <v>208</v>
      </c>
      <c r="T285" s="61">
        <v>170</v>
      </c>
      <c r="U285" s="60" t="s">
        <v>501</v>
      </c>
      <c r="V285" s="1">
        <v>3</v>
      </c>
      <c r="W285" s="1" t="s">
        <v>20</v>
      </c>
      <c r="X285" s="1" t="s">
        <v>1176</v>
      </c>
      <c r="Y285" s="2">
        <v>-922.71</v>
      </c>
      <c r="Z285" s="2">
        <v>-839.23</v>
      </c>
      <c r="AA285" s="2">
        <v>-911.5</v>
      </c>
      <c r="AB285" s="2">
        <v>-1394.26</v>
      </c>
      <c r="AC285" s="2">
        <v>-3329.21</v>
      </c>
      <c r="AD285" s="2">
        <v>-1113.82</v>
      </c>
      <c r="AE285" s="2">
        <v>-1219.14</v>
      </c>
      <c r="AF285" s="2">
        <v>-1068.61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  <c r="AM285" s="2">
        <v>0</v>
      </c>
      <c r="AN285" s="2">
        <v>0</v>
      </c>
      <c r="AO285" s="2">
        <v>0</v>
      </c>
      <c r="AP285" s="2">
        <v>0</v>
      </c>
      <c r="AQ285" s="2">
        <v>0</v>
      </c>
      <c r="AR285" s="2">
        <v>0</v>
      </c>
      <c r="AS285" s="2">
        <v>0</v>
      </c>
      <c r="AT285" s="2">
        <v>0</v>
      </c>
      <c r="AU285" s="2">
        <v>0</v>
      </c>
      <c r="AV285" s="2">
        <v>0</v>
      </c>
      <c r="AW285" s="1">
        <v>281</v>
      </c>
    </row>
    <row r="286" spans="1:49" ht="12.75">
      <c r="A286" s="5">
        <v>3020</v>
      </c>
      <c r="B286" s="2" t="s">
        <v>296</v>
      </c>
      <c r="C286" s="305">
        <v>0</v>
      </c>
      <c r="D286" s="305">
        <v>0</v>
      </c>
      <c r="E286" s="305">
        <v>0</v>
      </c>
      <c r="F286" s="305">
        <v>0</v>
      </c>
      <c r="G286" s="305">
        <v>0</v>
      </c>
      <c r="H286" s="305">
        <v>-134.7</v>
      </c>
      <c r="I286" s="305">
        <v>0</v>
      </c>
      <c r="J286" s="1" t="s">
        <v>818</v>
      </c>
      <c r="K286" s="3" t="s">
        <v>982</v>
      </c>
      <c r="L286" s="365"/>
      <c r="M286" s="2">
        <v>0</v>
      </c>
      <c r="N286" s="311">
        <v>310</v>
      </c>
      <c r="O286" s="310" t="s">
        <v>1110</v>
      </c>
      <c r="P286" s="309">
        <v>40</v>
      </c>
      <c r="Q286" s="60" t="s">
        <v>456</v>
      </c>
      <c r="R286" s="309">
        <v>5029</v>
      </c>
      <c r="S286" s="60" t="s">
        <v>208</v>
      </c>
      <c r="T286" s="61">
        <v>170</v>
      </c>
      <c r="U286" s="60" t="s">
        <v>501</v>
      </c>
      <c r="V286" s="1">
        <v>3</v>
      </c>
      <c r="W286" s="1" t="s">
        <v>20</v>
      </c>
      <c r="X286" s="1" t="s">
        <v>1177</v>
      </c>
      <c r="Y286" s="2">
        <v>0</v>
      </c>
      <c r="Z286" s="2">
        <v>0</v>
      </c>
      <c r="AA286" s="2">
        <v>0</v>
      </c>
      <c r="AB286" s="2">
        <v>0</v>
      </c>
      <c r="AC286" s="2">
        <v>-120.78</v>
      </c>
      <c r="AD286" s="2">
        <v>-6.96</v>
      </c>
      <c r="AE286" s="2">
        <v>0</v>
      </c>
      <c r="AF286" s="2">
        <v>0</v>
      </c>
      <c r="AG286" s="2">
        <v>-6.96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0</v>
      </c>
      <c r="AN286" s="2">
        <v>0</v>
      </c>
      <c r="AO286" s="2">
        <v>0</v>
      </c>
      <c r="AP286" s="2">
        <v>0</v>
      </c>
      <c r="AQ286" s="2">
        <v>0</v>
      </c>
      <c r="AR286" s="2">
        <v>0</v>
      </c>
      <c r="AS286" s="2">
        <v>0</v>
      </c>
      <c r="AT286" s="2">
        <v>0</v>
      </c>
      <c r="AU286" s="2">
        <v>0</v>
      </c>
      <c r="AV286" s="2">
        <v>0</v>
      </c>
      <c r="AW286" s="1">
        <v>282</v>
      </c>
    </row>
    <row r="287" spans="1:49" ht="12.75">
      <c r="A287" s="5">
        <v>3110</v>
      </c>
      <c r="B287" s="2" t="s">
        <v>1178</v>
      </c>
      <c r="C287" s="305">
        <v>-5640</v>
      </c>
      <c r="D287" s="305">
        <v>0</v>
      </c>
      <c r="E287" s="305">
        <v>0</v>
      </c>
      <c r="F287" s="305">
        <v>-55935</v>
      </c>
      <c r="G287" s="305">
        <v>0</v>
      </c>
      <c r="H287" s="305">
        <v>0</v>
      </c>
      <c r="I287" s="305">
        <v>0</v>
      </c>
      <c r="J287" s="1" t="s">
        <v>1024</v>
      </c>
      <c r="K287" s="3" t="s">
        <v>982</v>
      </c>
      <c r="L287" s="365"/>
      <c r="M287" s="2">
        <v>-55935</v>
      </c>
      <c r="N287" s="311">
        <v>310</v>
      </c>
      <c r="O287" s="310" t="s">
        <v>1110</v>
      </c>
      <c r="P287" s="309">
        <v>40</v>
      </c>
      <c r="Q287" s="60" t="s">
        <v>456</v>
      </c>
      <c r="R287" s="309">
        <v>5020</v>
      </c>
      <c r="S287" s="60" t="s">
        <v>205</v>
      </c>
      <c r="T287" s="61">
        <v>170</v>
      </c>
      <c r="U287" s="60" t="s">
        <v>501</v>
      </c>
      <c r="V287" s="1">
        <v>3</v>
      </c>
      <c r="W287" s="1" t="s">
        <v>20</v>
      </c>
      <c r="X287" s="1" t="s">
        <v>1139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  <c r="AH287" s="2">
        <v>0</v>
      </c>
      <c r="AI287" s="2">
        <v>0</v>
      </c>
      <c r="AJ287" s="2">
        <v>0</v>
      </c>
      <c r="AK287" s="2">
        <v>0</v>
      </c>
      <c r="AL287" s="2">
        <v>0</v>
      </c>
      <c r="AM287" s="2">
        <v>-2330</v>
      </c>
      <c r="AN287" s="2">
        <v>-2790</v>
      </c>
      <c r="AO287" s="2">
        <v>-3910</v>
      </c>
      <c r="AP287" s="2">
        <v>-3450</v>
      </c>
      <c r="AQ287" s="2">
        <v>-7570</v>
      </c>
      <c r="AR287" s="2">
        <v>-8295</v>
      </c>
      <c r="AS287" s="2">
        <v>-6970</v>
      </c>
      <c r="AT287" s="2">
        <v>-8000</v>
      </c>
      <c r="AU287" s="2">
        <v>-6980</v>
      </c>
      <c r="AV287" s="2">
        <v>-5640</v>
      </c>
      <c r="AW287" s="1">
        <v>283</v>
      </c>
    </row>
    <row r="288" spans="1:49" ht="12.75">
      <c r="A288" s="5">
        <v>3110</v>
      </c>
      <c r="B288" s="2" t="s">
        <v>876</v>
      </c>
      <c r="C288" s="305">
        <v>-8526.3</v>
      </c>
      <c r="D288" s="305">
        <v>0</v>
      </c>
      <c r="E288" s="305">
        <v>-12449.6</v>
      </c>
      <c r="F288" s="305">
        <v>-117046.57</v>
      </c>
      <c r="G288" s="305">
        <v>0</v>
      </c>
      <c r="H288" s="305">
        <v>-36379.8</v>
      </c>
      <c r="I288" s="305">
        <v>0</v>
      </c>
      <c r="J288" s="1" t="s">
        <v>742</v>
      </c>
      <c r="K288" s="3" t="s">
        <v>982</v>
      </c>
      <c r="L288" s="365"/>
      <c r="M288" s="2">
        <v>-117046.57</v>
      </c>
      <c r="N288" s="311">
        <v>310</v>
      </c>
      <c r="O288" s="310" t="s">
        <v>1110</v>
      </c>
      <c r="P288" s="309">
        <v>40</v>
      </c>
      <c r="Q288" s="60" t="s">
        <v>456</v>
      </c>
      <c r="R288" s="309">
        <v>5024</v>
      </c>
      <c r="S288" s="60" t="s">
        <v>155</v>
      </c>
      <c r="T288" s="61">
        <v>190</v>
      </c>
      <c r="U288" s="60" t="s">
        <v>503</v>
      </c>
      <c r="V288" s="1">
        <v>3</v>
      </c>
      <c r="W288" s="1" t="s">
        <v>20</v>
      </c>
      <c r="X288" s="1" t="s">
        <v>1144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-13491.6</v>
      </c>
      <c r="AI288" s="2">
        <v>-10438.6</v>
      </c>
      <c r="AJ288" s="2">
        <v>-12449.6</v>
      </c>
      <c r="AK288" s="2">
        <v>-11086.8</v>
      </c>
      <c r="AL288" s="2">
        <v>-8160.31</v>
      </c>
      <c r="AM288" s="2">
        <v>-12026.7</v>
      </c>
      <c r="AN288" s="2">
        <v>-7489</v>
      </c>
      <c r="AO288" s="2">
        <v>-10245.9</v>
      </c>
      <c r="AP288" s="2">
        <v>-9285.3</v>
      </c>
      <c r="AQ288" s="2">
        <v>-10305.3</v>
      </c>
      <c r="AR288" s="2">
        <v>-9988.4</v>
      </c>
      <c r="AS288" s="2">
        <v>-9725.7</v>
      </c>
      <c r="AT288" s="2">
        <v>-10896.56</v>
      </c>
      <c r="AU288" s="2">
        <v>-9310.3</v>
      </c>
      <c r="AV288" s="2">
        <v>-8526.3</v>
      </c>
      <c r="AW288" s="1">
        <v>284</v>
      </c>
    </row>
    <row r="289" spans="1:49" ht="12.75">
      <c r="A289" s="5">
        <v>3110</v>
      </c>
      <c r="B289" s="2" t="s">
        <v>1179</v>
      </c>
      <c r="C289" s="305">
        <v>0</v>
      </c>
      <c r="D289" s="305">
        <v>0</v>
      </c>
      <c r="E289" s="305">
        <v>0</v>
      </c>
      <c r="F289" s="305">
        <v>0</v>
      </c>
      <c r="G289" s="305">
        <v>0</v>
      </c>
      <c r="H289" s="305">
        <v>-123670</v>
      </c>
      <c r="I289" s="305">
        <v>0</v>
      </c>
      <c r="J289" s="1" t="s">
        <v>1040</v>
      </c>
      <c r="K289" s="3" t="s">
        <v>982</v>
      </c>
      <c r="L289" s="365"/>
      <c r="M289" s="2">
        <v>0</v>
      </c>
      <c r="N289" s="311">
        <v>310</v>
      </c>
      <c r="O289" s="310" t="s">
        <v>1110</v>
      </c>
      <c r="P289" s="309">
        <v>40</v>
      </c>
      <c r="Q289" s="60" t="s">
        <v>456</v>
      </c>
      <c r="R289" s="309">
        <v>5020</v>
      </c>
      <c r="S289" s="60" t="s">
        <v>205</v>
      </c>
      <c r="T289" s="61">
        <v>170</v>
      </c>
      <c r="U289" s="60" t="s">
        <v>501</v>
      </c>
      <c r="V289" s="1">
        <v>3</v>
      </c>
      <c r="W289" s="1" t="s">
        <v>20</v>
      </c>
      <c r="X289" s="1" t="s">
        <v>1180</v>
      </c>
      <c r="Y289" s="2">
        <v>-19735</v>
      </c>
      <c r="Z289" s="2">
        <v>-15745</v>
      </c>
      <c r="AA289" s="2">
        <v>-21485</v>
      </c>
      <c r="AB289" s="2">
        <v>-16935</v>
      </c>
      <c r="AC289" s="2">
        <v>-13805</v>
      </c>
      <c r="AD289" s="2">
        <v>-13390</v>
      </c>
      <c r="AE289" s="2">
        <v>-14530</v>
      </c>
      <c r="AF289" s="2">
        <v>-8045</v>
      </c>
      <c r="AG289" s="2">
        <v>0</v>
      </c>
      <c r="AH289" s="2">
        <v>0</v>
      </c>
      <c r="AI289" s="2">
        <v>0</v>
      </c>
      <c r="AJ289" s="2">
        <v>0</v>
      </c>
      <c r="AK289" s="2">
        <v>0</v>
      </c>
      <c r="AL289" s="2">
        <v>0</v>
      </c>
      <c r="AM289" s="2">
        <v>0</v>
      </c>
      <c r="AN289" s="2">
        <v>0</v>
      </c>
      <c r="AO289" s="2">
        <v>0</v>
      </c>
      <c r="AP289" s="2">
        <v>0</v>
      </c>
      <c r="AQ289" s="2">
        <v>0</v>
      </c>
      <c r="AR289" s="2">
        <v>0</v>
      </c>
      <c r="AS289" s="2">
        <v>0</v>
      </c>
      <c r="AT289" s="2">
        <v>0</v>
      </c>
      <c r="AU289" s="2">
        <v>0</v>
      </c>
      <c r="AV289" s="2">
        <v>0</v>
      </c>
      <c r="AW289" s="1">
        <v>285</v>
      </c>
    </row>
    <row r="290" spans="1:49" ht="12.75">
      <c r="A290" s="5">
        <v>3110</v>
      </c>
      <c r="B290" s="2" t="s">
        <v>416</v>
      </c>
      <c r="C290" s="305">
        <v>0</v>
      </c>
      <c r="D290" s="305">
        <v>0</v>
      </c>
      <c r="E290" s="305">
        <v>0</v>
      </c>
      <c r="F290" s="305">
        <v>0</v>
      </c>
      <c r="G290" s="305">
        <v>0</v>
      </c>
      <c r="H290" s="305">
        <v>-1277</v>
      </c>
      <c r="I290" s="305">
        <v>0</v>
      </c>
      <c r="J290" s="1" t="s">
        <v>768</v>
      </c>
      <c r="K290" s="3" t="s">
        <v>982</v>
      </c>
      <c r="L290" s="365"/>
      <c r="M290" s="2">
        <v>0</v>
      </c>
      <c r="N290" s="311">
        <v>310</v>
      </c>
      <c r="O290" s="310" t="s">
        <v>1110</v>
      </c>
      <c r="P290" s="309">
        <v>40</v>
      </c>
      <c r="Q290" s="60" t="s">
        <v>456</v>
      </c>
      <c r="R290" s="309">
        <v>5020</v>
      </c>
      <c r="S290" s="60" t="s">
        <v>205</v>
      </c>
      <c r="T290" s="61">
        <v>170</v>
      </c>
      <c r="U290" s="60" t="s">
        <v>501</v>
      </c>
      <c r="V290" s="1">
        <v>3</v>
      </c>
      <c r="W290" s="1" t="s">
        <v>20</v>
      </c>
      <c r="X290" s="1" t="s">
        <v>1139</v>
      </c>
      <c r="Y290" s="2">
        <v>-170</v>
      </c>
      <c r="Z290" s="2">
        <v>-285</v>
      </c>
      <c r="AA290" s="2">
        <v>-225</v>
      </c>
      <c r="AB290" s="2">
        <v>-192</v>
      </c>
      <c r="AC290" s="2">
        <v>-211</v>
      </c>
      <c r="AD290" s="2">
        <v>-36</v>
      </c>
      <c r="AE290" s="2">
        <v>-68</v>
      </c>
      <c r="AF290" s="2">
        <v>-90</v>
      </c>
      <c r="AG290" s="2">
        <v>0</v>
      </c>
      <c r="AH290" s="2">
        <v>0</v>
      </c>
      <c r="AI290" s="2">
        <v>0</v>
      </c>
      <c r="AJ290" s="2">
        <v>0</v>
      </c>
      <c r="AK290" s="2">
        <v>0</v>
      </c>
      <c r="AL290" s="2">
        <v>0</v>
      </c>
      <c r="AM290" s="2">
        <v>0</v>
      </c>
      <c r="AN290" s="2">
        <v>0</v>
      </c>
      <c r="AO290" s="2">
        <v>0</v>
      </c>
      <c r="AP290" s="2">
        <v>0</v>
      </c>
      <c r="AQ290" s="2">
        <v>0</v>
      </c>
      <c r="AR290" s="2">
        <v>0</v>
      </c>
      <c r="AS290" s="2">
        <v>0</v>
      </c>
      <c r="AT290" s="2">
        <v>0</v>
      </c>
      <c r="AU290" s="2">
        <v>0</v>
      </c>
      <c r="AV290" s="2">
        <v>0</v>
      </c>
      <c r="AW290" s="1">
        <v>286</v>
      </c>
    </row>
    <row r="291" spans="1:49" ht="12.75">
      <c r="A291" s="5">
        <v>3110</v>
      </c>
      <c r="B291" s="2" t="s">
        <v>297</v>
      </c>
      <c r="C291" s="305">
        <v>0</v>
      </c>
      <c r="D291" s="305">
        <v>0</v>
      </c>
      <c r="E291" s="305">
        <v>0</v>
      </c>
      <c r="F291" s="305">
        <v>0</v>
      </c>
      <c r="G291" s="305">
        <v>0</v>
      </c>
      <c r="H291" s="305">
        <v>-133730.35</v>
      </c>
      <c r="I291" s="305">
        <v>0</v>
      </c>
      <c r="J291" s="1" t="s">
        <v>787</v>
      </c>
      <c r="K291" s="3" t="s">
        <v>982</v>
      </c>
      <c r="L291" s="365"/>
      <c r="M291" s="2">
        <v>0</v>
      </c>
      <c r="N291" s="311">
        <v>310</v>
      </c>
      <c r="O291" s="310" t="s">
        <v>1110</v>
      </c>
      <c r="P291" s="309">
        <v>40</v>
      </c>
      <c r="Q291" s="60" t="s">
        <v>456</v>
      </c>
      <c r="R291" s="309">
        <v>5024</v>
      </c>
      <c r="S291" s="60" t="s">
        <v>155</v>
      </c>
      <c r="T291" s="61">
        <v>190</v>
      </c>
      <c r="U291" s="60" t="s">
        <v>503</v>
      </c>
      <c r="V291" s="1">
        <v>3</v>
      </c>
      <c r="W291" s="1" t="s">
        <v>20</v>
      </c>
      <c r="X291" s="1" t="s">
        <v>1144</v>
      </c>
      <c r="Y291" s="2">
        <v>-17567.4</v>
      </c>
      <c r="Z291" s="2">
        <v>-14894.6</v>
      </c>
      <c r="AA291" s="2">
        <v>-16430.9</v>
      </c>
      <c r="AB291" s="2">
        <v>-14826.8</v>
      </c>
      <c r="AC291" s="2">
        <v>-16641.95</v>
      </c>
      <c r="AD291" s="2">
        <v>-13675</v>
      </c>
      <c r="AE291" s="2">
        <v>-14447.8</v>
      </c>
      <c r="AF291" s="2">
        <v>-12253.9</v>
      </c>
      <c r="AG291" s="2">
        <v>-12992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  <c r="AM291" s="2">
        <v>0</v>
      </c>
      <c r="AN291" s="2">
        <v>0</v>
      </c>
      <c r="AO291" s="2">
        <v>0</v>
      </c>
      <c r="AP291" s="2">
        <v>0</v>
      </c>
      <c r="AQ291" s="2">
        <v>0</v>
      </c>
      <c r="AR291" s="2">
        <v>0</v>
      </c>
      <c r="AS291" s="2">
        <v>0</v>
      </c>
      <c r="AT291" s="2">
        <v>0</v>
      </c>
      <c r="AU291" s="2">
        <v>0</v>
      </c>
      <c r="AV291" s="2">
        <v>0</v>
      </c>
      <c r="AW291" s="1">
        <v>287</v>
      </c>
    </row>
    <row r="292" spans="1:49" ht="12.75">
      <c r="A292" s="5">
        <v>3110</v>
      </c>
      <c r="B292" s="2" t="s">
        <v>877</v>
      </c>
      <c r="C292" s="305">
        <v>-2420</v>
      </c>
      <c r="D292" s="305">
        <v>0</v>
      </c>
      <c r="E292" s="305">
        <v>-2723</v>
      </c>
      <c r="F292" s="305">
        <v>-37523</v>
      </c>
      <c r="G292" s="305">
        <v>0</v>
      </c>
      <c r="H292" s="305">
        <v>-8003</v>
      </c>
      <c r="I292" s="305">
        <v>0</v>
      </c>
      <c r="J292" s="1" t="s">
        <v>797</v>
      </c>
      <c r="K292" s="3" t="s">
        <v>982</v>
      </c>
      <c r="L292" s="365"/>
      <c r="M292" s="2">
        <v>-37523</v>
      </c>
      <c r="N292" s="311">
        <v>310</v>
      </c>
      <c r="O292" s="310" t="s">
        <v>1110</v>
      </c>
      <c r="P292" s="309">
        <v>40</v>
      </c>
      <c r="Q292" s="60" t="s">
        <v>456</v>
      </c>
      <c r="R292" s="309">
        <v>5025</v>
      </c>
      <c r="S292" s="60" t="s">
        <v>204</v>
      </c>
      <c r="T292" s="61">
        <v>250</v>
      </c>
      <c r="U292" s="60" t="s">
        <v>505</v>
      </c>
      <c r="V292" s="1">
        <v>3</v>
      </c>
      <c r="W292" s="1" t="s">
        <v>20</v>
      </c>
      <c r="X292" s="1" t="s">
        <v>1181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-2605</v>
      </c>
      <c r="AI292" s="2">
        <v>-2675</v>
      </c>
      <c r="AJ292" s="2">
        <v>-2723</v>
      </c>
      <c r="AK292" s="2">
        <v>-2981</v>
      </c>
      <c r="AL292" s="2">
        <v>-2036</v>
      </c>
      <c r="AM292" s="2">
        <v>-2897</v>
      </c>
      <c r="AN292" s="2">
        <v>-3904</v>
      </c>
      <c r="AO292" s="2">
        <v>-4137</v>
      </c>
      <c r="AP292" s="2">
        <v>-4510</v>
      </c>
      <c r="AQ292" s="2">
        <v>-2989</v>
      </c>
      <c r="AR292" s="2">
        <v>-3209</v>
      </c>
      <c r="AS292" s="2">
        <v>-2958</v>
      </c>
      <c r="AT292" s="2">
        <v>-2834</v>
      </c>
      <c r="AU292" s="2">
        <v>-2648</v>
      </c>
      <c r="AV292" s="2">
        <v>-2420</v>
      </c>
      <c r="AW292" s="1">
        <v>288</v>
      </c>
    </row>
    <row r="293" spans="1:49" ht="12.75">
      <c r="A293" s="5">
        <v>3110</v>
      </c>
      <c r="B293" s="2" t="s">
        <v>298</v>
      </c>
      <c r="C293" s="305">
        <v>0</v>
      </c>
      <c r="D293" s="305">
        <v>0</v>
      </c>
      <c r="E293" s="305">
        <v>0</v>
      </c>
      <c r="F293" s="305">
        <v>0</v>
      </c>
      <c r="G293" s="305">
        <v>0</v>
      </c>
      <c r="H293" s="305">
        <v>-47944</v>
      </c>
      <c r="I293" s="305">
        <v>0</v>
      </c>
      <c r="J293" s="1" t="s">
        <v>803</v>
      </c>
      <c r="K293" s="3" t="s">
        <v>982</v>
      </c>
      <c r="L293" s="365"/>
      <c r="M293" s="2">
        <v>0</v>
      </c>
      <c r="N293" s="311">
        <v>310</v>
      </c>
      <c r="O293" s="310" t="s">
        <v>1110</v>
      </c>
      <c r="P293" s="309">
        <v>40</v>
      </c>
      <c r="Q293" s="60" t="s">
        <v>456</v>
      </c>
      <c r="R293" s="309">
        <v>5025</v>
      </c>
      <c r="S293" s="60" t="s">
        <v>204</v>
      </c>
      <c r="T293" s="61">
        <v>250</v>
      </c>
      <c r="U293" s="60" t="s">
        <v>505</v>
      </c>
      <c r="V293" s="1">
        <v>3</v>
      </c>
      <c r="W293" s="1" t="s">
        <v>20</v>
      </c>
      <c r="X293" s="1" t="s">
        <v>1181</v>
      </c>
      <c r="Y293" s="2">
        <v>-3582</v>
      </c>
      <c r="Z293" s="2">
        <v>-3657</v>
      </c>
      <c r="AA293" s="2">
        <v>-3858</v>
      </c>
      <c r="AB293" s="2">
        <v>-6276</v>
      </c>
      <c r="AC293" s="2">
        <v>-8819</v>
      </c>
      <c r="AD293" s="2">
        <v>-6132</v>
      </c>
      <c r="AE293" s="2">
        <v>-6564</v>
      </c>
      <c r="AF293" s="2">
        <v>-5449</v>
      </c>
      <c r="AG293" s="2">
        <v>-3607</v>
      </c>
      <c r="AH293" s="2">
        <v>0</v>
      </c>
      <c r="AI293" s="2">
        <v>0</v>
      </c>
      <c r="AJ293" s="2">
        <v>0</v>
      </c>
      <c r="AK293" s="2">
        <v>0</v>
      </c>
      <c r="AL293" s="2">
        <v>0</v>
      </c>
      <c r="AM293" s="2">
        <v>0</v>
      </c>
      <c r="AN293" s="2">
        <v>0</v>
      </c>
      <c r="AO293" s="2">
        <v>0</v>
      </c>
      <c r="AP293" s="2">
        <v>0</v>
      </c>
      <c r="AQ293" s="2">
        <v>0</v>
      </c>
      <c r="AR293" s="2">
        <v>0</v>
      </c>
      <c r="AS293" s="2">
        <v>0</v>
      </c>
      <c r="AT293" s="2">
        <v>0</v>
      </c>
      <c r="AU293" s="2">
        <v>0</v>
      </c>
      <c r="AV293" s="2">
        <v>0</v>
      </c>
      <c r="AW293" s="1">
        <v>289</v>
      </c>
    </row>
    <row r="294" spans="1:49" ht="12.75">
      <c r="A294" s="5">
        <v>3700</v>
      </c>
      <c r="B294" s="2" t="s">
        <v>1182</v>
      </c>
      <c r="C294" s="305">
        <v>-32</v>
      </c>
      <c r="D294" s="305">
        <v>0</v>
      </c>
      <c r="E294" s="305">
        <v>-20</v>
      </c>
      <c r="F294" s="305">
        <v>-288.23</v>
      </c>
      <c r="G294" s="305">
        <v>0</v>
      </c>
      <c r="H294" s="305">
        <v>-200</v>
      </c>
      <c r="I294" s="305">
        <v>0</v>
      </c>
      <c r="J294" s="1" t="s">
        <v>1183</v>
      </c>
      <c r="K294" s="3" t="s">
        <v>982</v>
      </c>
      <c r="L294" s="365"/>
      <c r="M294" s="2">
        <v>-288.23</v>
      </c>
      <c r="N294" s="311">
        <v>300</v>
      </c>
      <c r="O294" s="310" t="s">
        <v>82</v>
      </c>
      <c r="P294" s="309">
        <v>0</v>
      </c>
      <c r="R294" s="309">
        <v>0</v>
      </c>
      <c r="T294" s="61">
        <v>0</v>
      </c>
      <c r="V294" s="1">
        <v>0</v>
      </c>
      <c r="W294" s="1" t="s">
        <v>20</v>
      </c>
      <c r="X294" s="1" t="s">
        <v>1118</v>
      </c>
      <c r="Y294" s="2">
        <v>0</v>
      </c>
      <c r="Z294" s="2">
        <v>-20</v>
      </c>
      <c r="AA294" s="2">
        <v>-20</v>
      </c>
      <c r="AB294" s="2">
        <v>-20</v>
      </c>
      <c r="AC294" s="2">
        <v>-20</v>
      </c>
      <c r="AD294" s="2">
        <v>-20</v>
      </c>
      <c r="AE294" s="2">
        <v>-20</v>
      </c>
      <c r="AF294" s="2">
        <v>0</v>
      </c>
      <c r="AG294" s="2">
        <v>0</v>
      </c>
      <c r="AH294" s="2">
        <v>0</v>
      </c>
      <c r="AI294" s="2">
        <v>-60</v>
      </c>
      <c r="AJ294" s="2">
        <v>-20</v>
      </c>
      <c r="AK294" s="2">
        <v>-32.39</v>
      </c>
      <c r="AL294" s="2">
        <v>-31.98</v>
      </c>
      <c r="AM294" s="2">
        <v>0</v>
      </c>
      <c r="AN294" s="2">
        <v>0</v>
      </c>
      <c r="AO294" s="2">
        <v>-32</v>
      </c>
      <c r="AP294" s="2">
        <v>-31.86</v>
      </c>
      <c r="AQ294" s="2">
        <v>0</v>
      </c>
      <c r="AR294" s="2">
        <v>-32</v>
      </c>
      <c r="AS294" s="2">
        <v>-32</v>
      </c>
      <c r="AT294" s="2">
        <v>-32</v>
      </c>
      <c r="AU294" s="2">
        <v>-32</v>
      </c>
      <c r="AV294" s="2">
        <v>-32</v>
      </c>
      <c r="AW294" s="1">
        <v>290</v>
      </c>
    </row>
    <row r="295" spans="1:49" ht="12.75">
      <c r="A295" s="5">
        <v>3705</v>
      </c>
      <c r="B295" s="2" t="s">
        <v>356</v>
      </c>
      <c r="C295" s="305">
        <v>0</v>
      </c>
      <c r="D295" s="305">
        <v>0</v>
      </c>
      <c r="E295" s="305">
        <v>0</v>
      </c>
      <c r="F295" s="305">
        <v>1253.31</v>
      </c>
      <c r="G295" s="305">
        <v>0</v>
      </c>
      <c r="H295" s="305">
        <v>0</v>
      </c>
      <c r="I295" s="305">
        <v>0</v>
      </c>
      <c r="J295" s="1" t="s">
        <v>596</v>
      </c>
      <c r="K295" s="3" t="s">
        <v>982</v>
      </c>
      <c r="L295" s="365"/>
      <c r="M295" s="2">
        <v>1253.31</v>
      </c>
      <c r="N295" s="311">
        <v>310</v>
      </c>
      <c r="O295" s="310" t="s">
        <v>1110</v>
      </c>
      <c r="P295" s="309">
        <v>10</v>
      </c>
      <c r="Q295" s="60" t="s">
        <v>454</v>
      </c>
      <c r="R295" s="309">
        <v>1001</v>
      </c>
      <c r="S295" s="60" t="s">
        <v>455</v>
      </c>
      <c r="T295" s="61">
        <v>110</v>
      </c>
      <c r="U295" s="60" t="s">
        <v>495</v>
      </c>
      <c r="V295" s="1">
        <v>3</v>
      </c>
      <c r="W295" s="1" t="s">
        <v>368</v>
      </c>
      <c r="X295" s="1" t="s">
        <v>1184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  <c r="AM295" s="2">
        <v>0</v>
      </c>
      <c r="AN295" s="2">
        <v>0</v>
      </c>
      <c r="AO295" s="2">
        <v>0</v>
      </c>
      <c r="AP295" s="2">
        <v>0</v>
      </c>
      <c r="AQ295" s="2">
        <v>0</v>
      </c>
      <c r="AR295" s="2">
        <v>0</v>
      </c>
      <c r="AS295" s="2">
        <v>1253.31</v>
      </c>
      <c r="AT295" s="2">
        <v>0</v>
      </c>
      <c r="AU295" s="2">
        <v>0</v>
      </c>
      <c r="AV295" s="2">
        <v>0</v>
      </c>
      <c r="AW295" s="1">
        <v>291</v>
      </c>
    </row>
    <row r="296" spans="1:49" ht="12.75">
      <c r="A296" s="5">
        <v>3750</v>
      </c>
      <c r="B296" s="2" t="s">
        <v>195</v>
      </c>
      <c r="C296" s="305">
        <v>-7029.74</v>
      </c>
      <c r="D296" s="305">
        <v>0</v>
      </c>
      <c r="E296" s="305">
        <v>-28684.58</v>
      </c>
      <c r="F296" s="305">
        <v>-14736.53</v>
      </c>
      <c r="G296" s="305">
        <v>0</v>
      </c>
      <c r="H296" s="305">
        <v>-37774.04</v>
      </c>
      <c r="I296" s="305">
        <v>0</v>
      </c>
      <c r="K296" s="3" t="s">
        <v>982</v>
      </c>
      <c r="L296" s="365"/>
      <c r="M296" s="2">
        <v>-14736.53</v>
      </c>
      <c r="N296" s="311">
        <v>840</v>
      </c>
      <c r="O296" s="310" t="s">
        <v>200</v>
      </c>
      <c r="V296" s="1">
        <v>0</v>
      </c>
      <c r="W296" s="1" t="s">
        <v>368</v>
      </c>
      <c r="X296" s="1" t="s">
        <v>1185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-722.46</v>
      </c>
      <c r="AG296" s="2">
        <v>-361.63</v>
      </c>
      <c r="AH296" s="2">
        <v>-1865.01</v>
      </c>
      <c r="AI296" s="2">
        <v>-6140.36</v>
      </c>
      <c r="AJ296" s="2">
        <v>-28684.58</v>
      </c>
      <c r="AK296" s="2">
        <v>-5683.4</v>
      </c>
      <c r="AL296" s="2">
        <v>-2183.52</v>
      </c>
      <c r="AM296" s="2">
        <v>0</v>
      </c>
      <c r="AN296" s="2">
        <v>0</v>
      </c>
      <c r="AO296" s="2">
        <v>0</v>
      </c>
      <c r="AP296" s="2">
        <v>0</v>
      </c>
      <c r="AQ296" s="2">
        <v>0</v>
      </c>
      <c r="AR296" s="2">
        <v>0</v>
      </c>
      <c r="AS296" s="2">
        <v>0</v>
      </c>
      <c r="AT296" s="2">
        <v>0</v>
      </c>
      <c r="AU296" s="2">
        <v>160.13</v>
      </c>
      <c r="AV296" s="2">
        <v>-7029.74</v>
      </c>
      <c r="AW296" s="1">
        <v>292</v>
      </c>
    </row>
    <row r="297" spans="1:49" ht="12.75">
      <c r="A297" s="5">
        <v>3751</v>
      </c>
      <c r="B297" s="2" t="s">
        <v>1186</v>
      </c>
      <c r="C297" s="305">
        <v>0</v>
      </c>
      <c r="D297" s="305">
        <v>0</v>
      </c>
      <c r="E297" s="305">
        <v>0</v>
      </c>
      <c r="F297" s="305">
        <v>-913.04</v>
      </c>
      <c r="G297" s="305">
        <v>0</v>
      </c>
      <c r="H297" s="305">
        <v>0</v>
      </c>
      <c r="I297" s="305">
        <v>0</v>
      </c>
      <c r="K297" s="3" t="s">
        <v>982</v>
      </c>
      <c r="L297" s="365"/>
      <c r="M297" s="2">
        <v>-913.04</v>
      </c>
      <c r="N297" s="311">
        <v>840</v>
      </c>
      <c r="O297" s="310" t="s">
        <v>200</v>
      </c>
      <c r="V297" s="1">
        <v>0</v>
      </c>
      <c r="W297" s="1" t="s">
        <v>368</v>
      </c>
      <c r="X297" s="1" t="s">
        <v>1185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2">
        <v>0</v>
      </c>
      <c r="AF297" s="2">
        <v>-26.09</v>
      </c>
      <c r="AG297" s="2">
        <v>26.09</v>
      </c>
      <c r="AH297" s="2">
        <v>0</v>
      </c>
      <c r="AI297" s="2">
        <v>0</v>
      </c>
      <c r="AJ297" s="2">
        <v>0</v>
      </c>
      <c r="AK297" s="2">
        <v>-913.04</v>
      </c>
      <c r="AL297" s="2">
        <v>0</v>
      </c>
      <c r="AM297" s="2">
        <v>0</v>
      </c>
      <c r="AN297" s="2">
        <v>0</v>
      </c>
      <c r="AO297" s="2">
        <v>0</v>
      </c>
      <c r="AP297" s="2">
        <v>0</v>
      </c>
      <c r="AQ297" s="2">
        <v>0</v>
      </c>
      <c r="AR297" s="2">
        <v>0</v>
      </c>
      <c r="AS297" s="2">
        <v>0</v>
      </c>
      <c r="AT297" s="2">
        <v>0</v>
      </c>
      <c r="AU297" s="2">
        <v>0</v>
      </c>
      <c r="AV297" s="2">
        <v>0</v>
      </c>
      <c r="AW297" s="1">
        <v>293</v>
      </c>
    </row>
    <row r="298" spans="1:49" ht="12.75">
      <c r="A298" s="5">
        <v>3793</v>
      </c>
      <c r="B298" s="2" t="s">
        <v>1187</v>
      </c>
      <c r="C298" s="305">
        <v>-8367</v>
      </c>
      <c r="D298" s="305">
        <v>0</v>
      </c>
      <c r="E298" s="305">
        <v>0</v>
      </c>
      <c r="F298" s="305">
        <v>-79605</v>
      </c>
      <c r="G298" s="305">
        <v>0</v>
      </c>
      <c r="H298" s="305">
        <v>0</v>
      </c>
      <c r="I298" s="305">
        <v>0</v>
      </c>
      <c r="J298" s="1" t="s">
        <v>734</v>
      </c>
      <c r="K298" s="3" t="s">
        <v>982</v>
      </c>
      <c r="L298" s="365"/>
      <c r="M298" s="2">
        <v>-79605</v>
      </c>
      <c r="N298" s="311">
        <v>300</v>
      </c>
      <c r="O298" s="310" t="s">
        <v>82</v>
      </c>
      <c r="P298" s="309">
        <v>40</v>
      </c>
      <c r="Q298" s="60" t="s">
        <v>456</v>
      </c>
      <c r="R298" s="309">
        <v>5020</v>
      </c>
      <c r="S298" s="60" t="s">
        <v>205</v>
      </c>
      <c r="T298" s="61">
        <v>170</v>
      </c>
      <c r="U298" s="60" t="s">
        <v>501</v>
      </c>
      <c r="V298" s="1">
        <v>3</v>
      </c>
      <c r="W298" s="1" t="s">
        <v>368</v>
      </c>
      <c r="X298" s="1" t="s">
        <v>1139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  <c r="AK298" s="2">
        <v>-8582</v>
      </c>
      <c r="AL298" s="2">
        <v>-5621</v>
      </c>
      <c r="AM298" s="2">
        <v>-6367</v>
      </c>
      <c r="AN298" s="2">
        <v>-7477</v>
      </c>
      <c r="AO298" s="2">
        <v>-5010</v>
      </c>
      <c r="AP298" s="2">
        <v>-7052</v>
      </c>
      <c r="AQ298" s="2">
        <v>-5516</v>
      </c>
      <c r="AR298" s="2">
        <v>-4881</v>
      </c>
      <c r="AS298" s="2">
        <v>-8784</v>
      </c>
      <c r="AT298" s="2">
        <v>-5651</v>
      </c>
      <c r="AU298" s="2">
        <v>-6297</v>
      </c>
      <c r="AV298" s="2">
        <v>-8367</v>
      </c>
      <c r="AW298" s="1">
        <v>294</v>
      </c>
    </row>
    <row r="299" spans="1:49" ht="12.75">
      <c r="A299" s="5">
        <v>3793</v>
      </c>
      <c r="B299" s="2" t="s">
        <v>1188</v>
      </c>
      <c r="C299" s="305">
        <v>0</v>
      </c>
      <c r="D299" s="305">
        <v>0</v>
      </c>
      <c r="E299" s="305">
        <v>-8688</v>
      </c>
      <c r="F299" s="305">
        <v>0</v>
      </c>
      <c r="G299" s="305">
        <v>0</v>
      </c>
      <c r="H299" s="305">
        <v>-113526</v>
      </c>
      <c r="I299" s="305">
        <v>0</v>
      </c>
      <c r="J299" s="1" t="s">
        <v>1037</v>
      </c>
      <c r="K299" s="3" t="s">
        <v>982</v>
      </c>
      <c r="L299" s="365"/>
      <c r="M299" s="2">
        <v>0</v>
      </c>
      <c r="N299" s="311">
        <v>300</v>
      </c>
      <c r="O299" s="310" t="s">
        <v>82</v>
      </c>
      <c r="P299" s="309">
        <v>40</v>
      </c>
      <c r="Q299" s="60" t="s">
        <v>456</v>
      </c>
      <c r="R299" s="309">
        <v>5020</v>
      </c>
      <c r="S299" s="60" t="s">
        <v>205</v>
      </c>
      <c r="T299" s="61">
        <v>170</v>
      </c>
      <c r="U299" s="60" t="s">
        <v>501</v>
      </c>
      <c r="V299" s="1">
        <v>3</v>
      </c>
      <c r="W299" s="1" t="s">
        <v>368</v>
      </c>
      <c r="X299" s="1" t="s">
        <v>1189</v>
      </c>
      <c r="Y299" s="2">
        <v>-8448</v>
      </c>
      <c r="Z299" s="2">
        <v>-10651</v>
      </c>
      <c r="AA299" s="2">
        <v>-13261</v>
      </c>
      <c r="AB299" s="2">
        <v>-8350</v>
      </c>
      <c r="AC299" s="2">
        <v>-8482</v>
      </c>
      <c r="AD299" s="2">
        <v>-10706</v>
      </c>
      <c r="AE299" s="2">
        <v>0</v>
      </c>
      <c r="AF299" s="2">
        <v>-17486</v>
      </c>
      <c r="AG299" s="2">
        <v>-9875</v>
      </c>
      <c r="AH299" s="2">
        <v>-6848</v>
      </c>
      <c r="AI299" s="2">
        <v>-10731</v>
      </c>
      <c r="AJ299" s="2">
        <v>-8688</v>
      </c>
      <c r="AK299" s="2">
        <v>0</v>
      </c>
      <c r="AL299" s="2">
        <v>0</v>
      </c>
      <c r="AM299" s="2">
        <v>0</v>
      </c>
      <c r="AN299" s="2">
        <v>0</v>
      </c>
      <c r="AO299" s="2">
        <v>0</v>
      </c>
      <c r="AP299" s="2">
        <v>0</v>
      </c>
      <c r="AQ299" s="2">
        <v>0</v>
      </c>
      <c r="AR299" s="2">
        <v>0</v>
      </c>
      <c r="AS299" s="2">
        <v>0</v>
      </c>
      <c r="AT299" s="2">
        <v>0</v>
      </c>
      <c r="AU299" s="2">
        <v>0</v>
      </c>
      <c r="AV299" s="2">
        <v>0</v>
      </c>
      <c r="AW299" s="1">
        <v>295</v>
      </c>
    </row>
    <row r="300" spans="1:49" ht="12.75">
      <c r="A300" s="5">
        <v>3796</v>
      </c>
      <c r="B300" s="2" t="s">
        <v>878</v>
      </c>
      <c r="C300" s="305">
        <v>-21.55</v>
      </c>
      <c r="D300" s="305">
        <v>0</v>
      </c>
      <c r="E300" s="305">
        <v>-14.8</v>
      </c>
      <c r="F300" s="305">
        <v>-268.91</v>
      </c>
      <c r="G300" s="305">
        <v>0</v>
      </c>
      <c r="H300" s="305">
        <v>-59.5</v>
      </c>
      <c r="I300" s="305">
        <v>0</v>
      </c>
      <c r="J300" s="1" t="s">
        <v>797</v>
      </c>
      <c r="K300" s="3" t="s">
        <v>982</v>
      </c>
      <c r="L300" s="365"/>
      <c r="M300" s="2">
        <v>-268.91</v>
      </c>
      <c r="N300" s="311">
        <v>300</v>
      </c>
      <c r="O300" s="310" t="s">
        <v>82</v>
      </c>
      <c r="P300" s="309">
        <v>40</v>
      </c>
      <c r="Q300" s="60" t="s">
        <v>456</v>
      </c>
      <c r="R300" s="309">
        <v>5025</v>
      </c>
      <c r="S300" s="60" t="s">
        <v>204</v>
      </c>
      <c r="T300" s="61">
        <v>250</v>
      </c>
      <c r="U300" s="60" t="s">
        <v>505</v>
      </c>
      <c r="V300" s="1">
        <v>3</v>
      </c>
      <c r="W300" s="1" t="s">
        <v>368</v>
      </c>
      <c r="X300" s="1" t="s">
        <v>1181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-44.7</v>
      </c>
      <c r="AJ300" s="2">
        <v>-14.8</v>
      </c>
      <c r="AK300" s="2">
        <v>-21.4</v>
      </c>
      <c r="AL300" s="2">
        <v>-16</v>
      </c>
      <c r="AM300" s="2">
        <v>-48</v>
      </c>
      <c r="AN300" s="2">
        <v>0</v>
      </c>
      <c r="AO300" s="2">
        <v>-38.6</v>
      </c>
      <c r="AP300" s="2">
        <v>-18.21</v>
      </c>
      <c r="AQ300" s="2">
        <v>-30.1</v>
      </c>
      <c r="AR300" s="2">
        <v>-13.1</v>
      </c>
      <c r="AS300" s="2">
        <v>-31.2</v>
      </c>
      <c r="AT300" s="2">
        <v>-15.85</v>
      </c>
      <c r="AU300" s="2">
        <v>-14.9</v>
      </c>
      <c r="AV300" s="2">
        <v>-21.55</v>
      </c>
      <c r="AW300" s="1">
        <v>296</v>
      </c>
    </row>
    <row r="301" spans="1:49" ht="12.75">
      <c r="A301" s="5">
        <v>3796</v>
      </c>
      <c r="B301" s="2" t="s">
        <v>440</v>
      </c>
      <c r="C301" s="305">
        <v>0</v>
      </c>
      <c r="D301" s="305">
        <v>0</v>
      </c>
      <c r="E301" s="305">
        <v>0</v>
      </c>
      <c r="F301" s="305">
        <v>0</v>
      </c>
      <c r="G301" s="305">
        <v>0</v>
      </c>
      <c r="H301" s="305">
        <v>-363.94</v>
      </c>
      <c r="I301" s="305">
        <v>0</v>
      </c>
      <c r="J301" s="1" t="s">
        <v>803</v>
      </c>
      <c r="K301" s="3" t="s">
        <v>982</v>
      </c>
      <c r="L301" s="365"/>
      <c r="M301" s="2">
        <v>0</v>
      </c>
      <c r="N301" s="311">
        <v>300</v>
      </c>
      <c r="O301" s="310" t="s">
        <v>82</v>
      </c>
      <c r="P301" s="309">
        <v>40</v>
      </c>
      <c r="Q301" s="60" t="s">
        <v>456</v>
      </c>
      <c r="R301" s="309">
        <v>5025</v>
      </c>
      <c r="S301" s="60" t="s">
        <v>204</v>
      </c>
      <c r="T301" s="61">
        <v>250</v>
      </c>
      <c r="U301" s="60" t="s">
        <v>505</v>
      </c>
      <c r="V301" s="1">
        <v>3</v>
      </c>
      <c r="W301" s="1" t="s">
        <v>368</v>
      </c>
      <c r="X301" s="1" t="s">
        <v>1181</v>
      </c>
      <c r="Y301" s="2">
        <v>-32.8</v>
      </c>
      <c r="Z301" s="2">
        <v>-32</v>
      </c>
      <c r="AA301" s="2">
        <v>-51.36</v>
      </c>
      <c r="AB301" s="2">
        <v>-30.47</v>
      </c>
      <c r="AC301" s="2">
        <v>-27</v>
      </c>
      <c r="AD301" s="2">
        <v>-53.21</v>
      </c>
      <c r="AE301" s="2">
        <v>-30.75</v>
      </c>
      <c r="AF301" s="2">
        <v>-41.05</v>
      </c>
      <c r="AG301" s="2">
        <v>-38.2</v>
      </c>
      <c r="AH301" s="2">
        <v>-27.1</v>
      </c>
      <c r="AI301" s="2">
        <v>0</v>
      </c>
      <c r="AJ301" s="2">
        <v>0</v>
      </c>
      <c r="AK301" s="2">
        <v>0</v>
      </c>
      <c r="AL301" s="2">
        <v>0</v>
      </c>
      <c r="AM301" s="2">
        <v>0</v>
      </c>
      <c r="AN301" s="2">
        <v>0</v>
      </c>
      <c r="AO301" s="2">
        <v>0</v>
      </c>
      <c r="AP301" s="2">
        <v>0</v>
      </c>
      <c r="AQ301" s="2">
        <v>0</v>
      </c>
      <c r="AR301" s="2">
        <v>0</v>
      </c>
      <c r="AS301" s="2">
        <v>0</v>
      </c>
      <c r="AT301" s="2">
        <v>0</v>
      </c>
      <c r="AU301" s="2">
        <v>0</v>
      </c>
      <c r="AV301" s="2">
        <v>0</v>
      </c>
      <c r="AW301" s="1">
        <v>297</v>
      </c>
    </row>
    <row r="302" spans="1:49" ht="12.75">
      <c r="A302" s="5">
        <v>4005</v>
      </c>
      <c r="B302" s="2" t="s">
        <v>299</v>
      </c>
      <c r="C302" s="305">
        <v>12900</v>
      </c>
      <c r="D302" s="305">
        <v>0</v>
      </c>
      <c r="E302" s="305">
        <v>26081.15</v>
      </c>
      <c r="F302" s="305">
        <v>375081.57</v>
      </c>
      <c r="G302" s="305">
        <v>0</v>
      </c>
      <c r="H302" s="305">
        <v>360841.44</v>
      </c>
      <c r="I302" s="305">
        <v>0</v>
      </c>
      <c r="J302" s="1" t="s">
        <v>597</v>
      </c>
      <c r="K302" s="3" t="s">
        <v>982</v>
      </c>
      <c r="L302" s="365"/>
      <c r="M302" s="2">
        <v>375081.57</v>
      </c>
      <c r="N302" s="311">
        <v>410</v>
      </c>
      <c r="O302" s="310" t="s">
        <v>1190</v>
      </c>
      <c r="P302" s="309">
        <v>10</v>
      </c>
      <c r="Q302" s="60" t="s">
        <v>454</v>
      </c>
      <c r="R302" s="309">
        <v>1001</v>
      </c>
      <c r="S302" s="60" t="s">
        <v>455</v>
      </c>
      <c r="T302" s="61">
        <v>110</v>
      </c>
      <c r="U302" s="60" t="s">
        <v>495</v>
      </c>
      <c r="V302" s="1">
        <v>3</v>
      </c>
      <c r="W302" s="1" t="s">
        <v>37</v>
      </c>
      <c r="X302" s="1" t="s">
        <v>1191</v>
      </c>
      <c r="Y302" s="2">
        <v>16500</v>
      </c>
      <c r="Z302" s="2">
        <v>19742.89</v>
      </c>
      <c r="AA302" s="2">
        <v>22400</v>
      </c>
      <c r="AB302" s="2">
        <v>31080.25</v>
      </c>
      <c r="AC302" s="2">
        <v>44800</v>
      </c>
      <c r="AD302" s="2">
        <v>41037.15</v>
      </c>
      <c r="AE302" s="2">
        <v>40600</v>
      </c>
      <c r="AF302" s="2">
        <v>37700</v>
      </c>
      <c r="AG302" s="2">
        <v>33400</v>
      </c>
      <c r="AH302" s="2">
        <v>25900</v>
      </c>
      <c r="AI302" s="2">
        <v>21600</v>
      </c>
      <c r="AJ302" s="2">
        <v>26081.15</v>
      </c>
      <c r="AK302" s="2">
        <v>21300</v>
      </c>
      <c r="AL302" s="2">
        <v>13500</v>
      </c>
      <c r="AM302" s="2">
        <v>30100</v>
      </c>
      <c r="AN302" s="2">
        <v>41300</v>
      </c>
      <c r="AO302" s="2">
        <v>41505.49</v>
      </c>
      <c r="AP302" s="2">
        <v>38972.2</v>
      </c>
      <c r="AQ302" s="2">
        <v>37800</v>
      </c>
      <c r="AR302" s="2">
        <v>50841.88</v>
      </c>
      <c r="AS302" s="2">
        <v>36500</v>
      </c>
      <c r="AT302" s="2">
        <v>25800</v>
      </c>
      <c r="AU302" s="2">
        <v>24562</v>
      </c>
      <c r="AV302" s="2">
        <v>12900</v>
      </c>
      <c r="AW302" s="1">
        <v>298</v>
      </c>
    </row>
    <row r="303" spans="1:49" ht="12.75">
      <c r="A303" s="5">
        <v>4005</v>
      </c>
      <c r="B303" s="2" t="s">
        <v>300</v>
      </c>
      <c r="C303" s="305">
        <v>576288.69</v>
      </c>
      <c r="D303" s="305">
        <v>0</v>
      </c>
      <c r="E303" s="305">
        <v>569302.42</v>
      </c>
      <c r="F303" s="305">
        <v>9000923.52</v>
      </c>
      <c r="G303" s="305">
        <v>0</v>
      </c>
      <c r="H303" s="305">
        <v>8485801.55</v>
      </c>
      <c r="I303" s="305">
        <v>0</v>
      </c>
      <c r="J303" s="1" t="s">
        <v>596</v>
      </c>
      <c r="K303" s="3" t="s">
        <v>982</v>
      </c>
      <c r="L303" s="365"/>
      <c r="M303" s="2">
        <v>9000923.52</v>
      </c>
      <c r="N303" s="311">
        <v>410</v>
      </c>
      <c r="O303" s="310" t="s">
        <v>1190</v>
      </c>
      <c r="P303" s="309">
        <v>10</v>
      </c>
      <c r="Q303" s="60" t="s">
        <v>454</v>
      </c>
      <c r="R303" s="309">
        <v>1001</v>
      </c>
      <c r="S303" s="60" t="s">
        <v>455</v>
      </c>
      <c r="T303" s="61">
        <v>110</v>
      </c>
      <c r="U303" s="60" t="s">
        <v>495</v>
      </c>
      <c r="V303" s="1">
        <v>3</v>
      </c>
      <c r="W303" s="1" t="s">
        <v>37</v>
      </c>
      <c r="X303" s="1" t="s">
        <v>1192</v>
      </c>
      <c r="Y303" s="2">
        <v>469133.83</v>
      </c>
      <c r="Z303" s="2">
        <v>478973.64</v>
      </c>
      <c r="AA303" s="2">
        <v>568415.39</v>
      </c>
      <c r="AB303" s="2">
        <v>562026.11</v>
      </c>
      <c r="AC303" s="2">
        <v>868169.1</v>
      </c>
      <c r="AD303" s="2">
        <v>832461.75</v>
      </c>
      <c r="AE303" s="2">
        <v>1065742.38</v>
      </c>
      <c r="AF303" s="2">
        <v>1020281.44</v>
      </c>
      <c r="AG303" s="2">
        <v>685042.95</v>
      </c>
      <c r="AH303" s="2">
        <v>732022.57</v>
      </c>
      <c r="AI303" s="2">
        <v>634229.97</v>
      </c>
      <c r="AJ303" s="2">
        <v>569302.42</v>
      </c>
      <c r="AK303" s="2">
        <v>502232.62</v>
      </c>
      <c r="AL303" s="2">
        <v>515201.56</v>
      </c>
      <c r="AM303" s="2">
        <v>662510.88</v>
      </c>
      <c r="AN303" s="2">
        <v>726238.66</v>
      </c>
      <c r="AO303" s="2">
        <v>723991.06</v>
      </c>
      <c r="AP303" s="2">
        <v>1050695.95</v>
      </c>
      <c r="AQ303" s="2">
        <v>1073347.31</v>
      </c>
      <c r="AR303" s="2">
        <v>976354.04</v>
      </c>
      <c r="AS303" s="2">
        <v>792667.42</v>
      </c>
      <c r="AT303" s="2">
        <v>680357.21</v>
      </c>
      <c r="AU303" s="2">
        <v>721038.12</v>
      </c>
      <c r="AV303" s="2">
        <v>576288.69</v>
      </c>
      <c r="AW303" s="1">
        <v>299</v>
      </c>
    </row>
    <row r="304" spans="1:49" ht="12.75">
      <c r="A304" s="5">
        <v>4005</v>
      </c>
      <c r="B304" s="2" t="s">
        <v>357</v>
      </c>
      <c r="C304" s="305">
        <v>836287.05</v>
      </c>
      <c r="D304" s="305">
        <v>0</v>
      </c>
      <c r="E304" s="305">
        <v>690293.8</v>
      </c>
      <c r="F304" s="305">
        <v>10167771.66</v>
      </c>
      <c r="G304" s="305">
        <v>0</v>
      </c>
      <c r="H304" s="305">
        <v>8370163.98</v>
      </c>
      <c r="I304" s="305">
        <v>0</v>
      </c>
      <c r="J304" s="1" t="s">
        <v>599</v>
      </c>
      <c r="K304" s="3" t="s">
        <v>982</v>
      </c>
      <c r="L304" s="365"/>
      <c r="M304" s="2">
        <v>10167771.66</v>
      </c>
      <c r="N304" s="311">
        <v>410</v>
      </c>
      <c r="O304" s="310" t="s">
        <v>1190</v>
      </c>
      <c r="P304" s="309">
        <v>10</v>
      </c>
      <c r="Q304" s="60" t="s">
        <v>454</v>
      </c>
      <c r="R304" s="309">
        <v>1001</v>
      </c>
      <c r="S304" s="60" t="s">
        <v>455</v>
      </c>
      <c r="T304" s="61">
        <v>110</v>
      </c>
      <c r="U304" s="60" t="s">
        <v>495</v>
      </c>
      <c r="V304" s="1">
        <v>3</v>
      </c>
      <c r="W304" s="1" t="s">
        <v>37</v>
      </c>
      <c r="X304" s="1" t="s">
        <v>1193</v>
      </c>
      <c r="Y304" s="2">
        <v>625478.64</v>
      </c>
      <c r="Z304" s="2">
        <v>631060.17</v>
      </c>
      <c r="AA304" s="2">
        <v>663490.85</v>
      </c>
      <c r="AB304" s="2">
        <v>592583.06</v>
      </c>
      <c r="AC304" s="2">
        <v>673037.85</v>
      </c>
      <c r="AD304" s="2">
        <v>715672.63</v>
      </c>
      <c r="AE304" s="2">
        <v>673450.5</v>
      </c>
      <c r="AF304" s="2">
        <v>760838.13</v>
      </c>
      <c r="AG304" s="2">
        <v>762388.89</v>
      </c>
      <c r="AH304" s="2">
        <v>809237.75</v>
      </c>
      <c r="AI304" s="2">
        <v>772631.71</v>
      </c>
      <c r="AJ304" s="2">
        <v>690293.8</v>
      </c>
      <c r="AK304" s="2">
        <v>612449.94</v>
      </c>
      <c r="AL304" s="2">
        <v>688243.96</v>
      </c>
      <c r="AM304" s="2">
        <v>757180.27</v>
      </c>
      <c r="AN304" s="2">
        <v>847637.63</v>
      </c>
      <c r="AO304" s="2">
        <v>887147.21</v>
      </c>
      <c r="AP304" s="2">
        <v>970165.35</v>
      </c>
      <c r="AQ304" s="2">
        <v>961510.18</v>
      </c>
      <c r="AR304" s="2">
        <v>881790.62</v>
      </c>
      <c r="AS304" s="2">
        <v>847320.76</v>
      </c>
      <c r="AT304" s="2">
        <v>824644.27</v>
      </c>
      <c r="AU304" s="2">
        <v>1053394.42</v>
      </c>
      <c r="AV304" s="2">
        <v>836287.05</v>
      </c>
      <c r="AW304" s="1">
        <v>300</v>
      </c>
    </row>
    <row r="305" spans="1:49" ht="12.75">
      <c r="A305" s="5">
        <v>4005</v>
      </c>
      <c r="B305" s="2" t="s">
        <v>358</v>
      </c>
      <c r="C305" s="305">
        <v>58103.98</v>
      </c>
      <c r="D305" s="305">
        <v>0</v>
      </c>
      <c r="E305" s="305">
        <v>32348.81</v>
      </c>
      <c r="F305" s="305">
        <v>454564.52</v>
      </c>
      <c r="G305" s="305">
        <v>0</v>
      </c>
      <c r="H305" s="305">
        <v>397261.04</v>
      </c>
      <c r="I305" s="305">
        <v>0</v>
      </c>
      <c r="J305" s="1" t="s">
        <v>598</v>
      </c>
      <c r="K305" s="3" t="s">
        <v>982</v>
      </c>
      <c r="L305" s="365"/>
      <c r="M305" s="2">
        <v>454564.52</v>
      </c>
      <c r="N305" s="311">
        <v>410</v>
      </c>
      <c r="O305" s="310" t="s">
        <v>1190</v>
      </c>
      <c r="P305" s="309">
        <v>10</v>
      </c>
      <c r="Q305" s="60" t="s">
        <v>454</v>
      </c>
      <c r="R305" s="309">
        <v>1001</v>
      </c>
      <c r="S305" s="60" t="s">
        <v>455</v>
      </c>
      <c r="T305" s="61">
        <v>110</v>
      </c>
      <c r="U305" s="60" t="s">
        <v>495</v>
      </c>
      <c r="V305" s="1">
        <v>3</v>
      </c>
      <c r="W305" s="1" t="s">
        <v>37</v>
      </c>
      <c r="X305" s="1" t="s">
        <v>1194</v>
      </c>
      <c r="Y305" s="2">
        <v>26703.87</v>
      </c>
      <c r="Z305" s="2">
        <v>32951.61</v>
      </c>
      <c r="AA305" s="2">
        <v>26200</v>
      </c>
      <c r="AB305" s="2">
        <v>33060.36</v>
      </c>
      <c r="AC305" s="2">
        <v>32620.91</v>
      </c>
      <c r="AD305" s="2">
        <v>35053.02</v>
      </c>
      <c r="AE305" s="2">
        <v>44691.7</v>
      </c>
      <c r="AF305" s="2">
        <v>30227.4</v>
      </c>
      <c r="AG305" s="2">
        <v>34074.7</v>
      </c>
      <c r="AH305" s="2">
        <v>34742.41</v>
      </c>
      <c r="AI305" s="2">
        <v>34586.25</v>
      </c>
      <c r="AJ305" s="2">
        <v>32348.81</v>
      </c>
      <c r="AK305" s="2">
        <v>31900</v>
      </c>
      <c r="AL305" s="2">
        <v>26797.72</v>
      </c>
      <c r="AM305" s="2">
        <v>39703.94</v>
      </c>
      <c r="AN305" s="2">
        <v>37866.19</v>
      </c>
      <c r="AO305" s="2">
        <v>41700</v>
      </c>
      <c r="AP305" s="2">
        <v>34285.77</v>
      </c>
      <c r="AQ305" s="2">
        <v>34100</v>
      </c>
      <c r="AR305" s="2">
        <v>47026.23</v>
      </c>
      <c r="AS305" s="2">
        <v>33600</v>
      </c>
      <c r="AT305" s="2">
        <v>35714.36</v>
      </c>
      <c r="AU305" s="2">
        <v>33766.33</v>
      </c>
      <c r="AV305" s="2">
        <v>58103.98</v>
      </c>
      <c r="AW305" s="1">
        <v>301</v>
      </c>
    </row>
    <row r="306" spans="1:49" ht="12.75">
      <c r="A306" s="5">
        <v>4005</v>
      </c>
      <c r="B306" s="2" t="s">
        <v>308</v>
      </c>
      <c r="C306" s="305">
        <v>146799.36</v>
      </c>
      <c r="D306" s="305">
        <v>0</v>
      </c>
      <c r="E306" s="305">
        <v>110311.91</v>
      </c>
      <c r="F306" s="305">
        <v>3895084.06</v>
      </c>
      <c r="G306" s="305">
        <v>0</v>
      </c>
      <c r="H306" s="305">
        <v>3266206.97</v>
      </c>
      <c r="I306" s="305">
        <v>0</v>
      </c>
      <c r="J306" s="1" t="s">
        <v>600</v>
      </c>
      <c r="K306" s="3" t="s">
        <v>982</v>
      </c>
      <c r="L306" s="365"/>
      <c r="M306" s="2">
        <v>3895084.06</v>
      </c>
      <c r="N306" s="311">
        <v>410</v>
      </c>
      <c r="O306" s="310" t="s">
        <v>1190</v>
      </c>
      <c r="P306" s="309">
        <v>10</v>
      </c>
      <c r="Q306" s="60" t="s">
        <v>454</v>
      </c>
      <c r="R306" s="309">
        <v>1001</v>
      </c>
      <c r="S306" s="60" t="s">
        <v>455</v>
      </c>
      <c r="T306" s="61">
        <v>110</v>
      </c>
      <c r="U306" s="60" t="s">
        <v>495</v>
      </c>
      <c r="V306" s="1">
        <v>3</v>
      </c>
      <c r="W306" s="1" t="s">
        <v>37</v>
      </c>
      <c r="X306" s="1" t="s">
        <v>1195</v>
      </c>
      <c r="Y306" s="2">
        <v>123921.84</v>
      </c>
      <c r="Z306" s="2">
        <v>102622.6</v>
      </c>
      <c r="AA306" s="2">
        <v>244148.97</v>
      </c>
      <c r="AB306" s="2">
        <v>211283.03</v>
      </c>
      <c r="AC306" s="2">
        <v>319510.74</v>
      </c>
      <c r="AD306" s="2">
        <v>446659.05</v>
      </c>
      <c r="AE306" s="2">
        <v>832150.51</v>
      </c>
      <c r="AF306" s="2">
        <v>390750.55</v>
      </c>
      <c r="AG306" s="2">
        <v>174078.48</v>
      </c>
      <c r="AH306" s="2">
        <v>161597.61</v>
      </c>
      <c r="AI306" s="2">
        <v>149171.68</v>
      </c>
      <c r="AJ306" s="2">
        <v>110311.91</v>
      </c>
      <c r="AK306" s="2">
        <v>89300</v>
      </c>
      <c r="AL306" s="2">
        <v>93253.86</v>
      </c>
      <c r="AM306" s="2">
        <v>243005.43</v>
      </c>
      <c r="AN306" s="2">
        <v>263601.27</v>
      </c>
      <c r="AO306" s="2">
        <v>282949.36</v>
      </c>
      <c r="AP306" s="2">
        <v>505424.09</v>
      </c>
      <c r="AQ306" s="2">
        <v>1124883.62</v>
      </c>
      <c r="AR306" s="2">
        <v>473959.69</v>
      </c>
      <c r="AS306" s="2">
        <v>303042.29</v>
      </c>
      <c r="AT306" s="2">
        <v>222590.73</v>
      </c>
      <c r="AU306" s="2">
        <v>146274.36</v>
      </c>
      <c r="AV306" s="2">
        <v>146799.36</v>
      </c>
      <c r="AW306" s="1">
        <v>302</v>
      </c>
    </row>
    <row r="307" spans="1:49" ht="12.75">
      <c r="A307" s="5">
        <v>4010</v>
      </c>
      <c r="B307" s="2" t="s">
        <v>1196</v>
      </c>
      <c r="C307" s="305">
        <v>0</v>
      </c>
      <c r="D307" s="305">
        <v>0</v>
      </c>
      <c r="E307" s="305">
        <v>-31535.08</v>
      </c>
      <c r="F307" s="305">
        <v>0</v>
      </c>
      <c r="G307" s="305">
        <v>0</v>
      </c>
      <c r="H307" s="305">
        <v>2639.25</v>
      </c>
      <c r="I307" s="305">
        <v>0</v>
      </c>
      <c r="J307" s="1" t="s">
        <v>826</v>
      </c>
      <c r="K307" s="3" t="s">
        <v>982</v>
      </c>
      <c r="L307" s="365"/>
      <c r="M307" s="2">
        <v>0</v>
      </c>
      <c r="N307" s="311">
        <v>410</v>
      </c>
      <c r="O307" s="310" t="s">
        <v>1190</v>
      </c>
      <c r="P307" s="309">
        <v>40</v>
      </c>
      <c r="Q307" s="60" t="s">
        <v>456</v>
      </c>
      <c r="R307" s="309">
        <v>5012</v>
      </c>
      <c r="S307" s="60" t="s">
        <v>212</v>
      </c>
      <c r="T307" s="61">
        <v>211</v>
      </c>
      <c r="U307" s="60" t="s">
        <v>506</v>
      </c>
      <c r="V307" s="1">
        <v>3</v>
      </c>
      <c r="W307" s="1" t="s">
        <v>37</v>
      </c>
      <c r="X307" s="1" t="s">
        <v>1197</v>
      </c>
      <c r="Y307" s="2">
        <v>3684.6</v>
      </c>
      <c r="Z307" s="2">
        <v>6763.65</v>
      </c>
      <c r="AA307" s="2">
        <v>3538.32</v>
      </c>
      <c r="AB307" s="2">
        <v>5109.68</v>
      </c>
      <c r="AC307" s="2">
        <v>4282.6</v>
      </c>
      <c r="AD307" s="2">
        <v>3297.28</v>
      </c>
      <c r="AE307" s="2">
        <v>3279.8</v>
      </c>
      <c r="AF307" s="2">
        <v>2567.2</v>
      </c>
      <c r="AG307" s="2">
        <v>1651.2</v>
      </c>
      <c r="AH307" s="2">
        <v>0</v>
      </c>
      <c r="AI307" s="2">
        <v>0</v>
      </c>
      <c r="AJ307" s="2">
        <v>-31535.08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  <c r="AU307" s="2">
        <v>0</v>
      </c>
      <c r="AV307" s="2">
        <v>0</v>
      </c>
      <c r="AW307" s="1">
        <v>303</v>
      </c>
    </row>
    <row r="308" spans="1:49" ht="12.75">
      <c r="A308" s="5">
        <v>4010</v>
      </c>
      <c r="B308" s="2" t="s">
        <v>1198</v>
      </c>
      <c r="C308" s="305">
        <v>0</v>
      </c>
      <c r="D308" s="305">
        <v>0</v>
      </c>
      <c r="E308" s="305">
        <v>114057.66</v>
      </c>
      <c r="F308" s="305">
        <v>0</v>
      </c>
      <c r="G308" s="305">
        <v>0</v>
      </c>
      <c r="H308" s="305">
        <v>268482</v>
      </c>
      <c r="I308" s="305">
        <v>0</v>
      </c>
      <c r="J308" s="1" t="s">
        <v>673</v>
      </c>
      <c r="K308" s="3" t="s">
        <v>982</v>
      </c>
      <c r="L308" s="365"/>
      <c r="M308" s="2">
        <v>0</v>
      </c>
      <c r="N308" s="311">
        <v>410</v>
      </c>
      <c r="O308" s="310" t="s">
        <v>1190</v>
      </c>
      <c r="P308" s="309">
        <v>40</v>
      </c>
      <c r="Q308" s="60" t="s">
        <v>456</v>
      </c>
      <c r="R308" s="309">
        <v>5011</v>
      </c>
      <c r="S308" s="60" t="s">
        <v>209</v>
      </c>
      <c r="T308" s="61">
        <v>210</v>
      </c>
      <c r="U308" s="60" t="s">
        <v>500</v>
      </c>
      <c r="V308" s="1">
        <v>3</v>
      </c>
      <c r="W308" s="1" t="s">
        <v>37</v>
      </c>
      <c r="X308" s="1" t="s">
        <v>1199</v>
      </c>
      <c r="Y308" s="2">
        <v>15286.72</v>
      </c>
      <c r="Z308" s="2">
        <v>30604.5</v>
      </c>
      <c r="AA308" s="2">
        <v>21982.69</v>
      </c>
      <c r="AB308" s="2">
        <v>19165.47</v>
      </c>
      <c r="AC308" s="2">
        <v>13734.44</v>
      </c>
      <c r="AD308" s="2">
        <v>13215.25</v>
      </c>
      <c r="AE308" s="2">
        <v>7542.57</v>
      </c>
      <c r="AF308" s="2">
        <v>20499.76</v>
      </c>
      <c r="AG308" s="2">
        <v>12392.94</v>
      </c>
      <c r="AH308" s="2">
        <v>0</v>
      </c>
      <c r="AI308" s="2">
        <v>0</v>
      </c>
      <c r="AJ308" s="2">
        <v>114057.66</v>
      </c>
      <c r="AK308" s="2">
        <v>0</v>
      </c>
      <c r="AL308" s="2">
        <v>0</v>
      </c>
      <c r="AM308" s="2">
        <v>0</v>
      </c>
      <c r="AN308" s="2">
        <v>0</v>
      </c>
      <c r="AO308" s="2">
        <v>0</v>
      </c>
      <c r="AP308" s="2">
        <v>0</v>
      </c>
      <c r="AQ308" s="2">
        <v>0</v>
      </c>
      <c r="AR308" s="2">
        <v>0</v>
      </c>
      <c r="AS308" s="2">
        <v>0</v>
      </c>
      <c r="AT308" s="2">
        <v>0</v>
      </c>
      <c r="AU308" s="2">
        <v>0</v>
      </c>
      <c r="AV308" s="2">
        <v>0</v>
      </c>
      <c r="AW308" s="1">
        <v>304</v>
      </c>
    </row>
    <row r="309" spans="1:49" ht="12.75">
      <c r="A309" s="5">
        <v>4010</v>
      </c>
      <c r="B309" s="2" t="s">
        <v>1200</v>
      </c>
      <c r="C309" s="305">
        <v>0</v>
      </c>
      <c r="D309" s="305">
        <v>0</v>
      </c>
      <c r="E309" s="305">
        <v>-3.27</v>
      </c>
      <c r="F309" s="305">
        <v>0</v>
      </c>
      <c r="G309" s="305">
        <v>0</v>
      </c>
      <c r="H309" s="305">
        <v>0</v>
      </c>
      <c r="I309" s="305">
        <v>0</v>
      </c>
      <c r="J309" s="1" t="s">
        <v>675</v>
      </c>
      <c r="K309" s="3" t="s">
        <v>982</v>
      </c>
      <c r="L309" s="365"/>
      <c r="M309" s="2">
        <v>0</v>
      </c>
      <c r="N309" s="311">
        <v>410</v>
      </c>
      <c r="O309" s="310" t="s">
        <v>1190</v>
      </c>
      <c r="P309" s="309">
        <v>40</v>
      </c>
      <c r="Q309" s="60" t="s">
        <v>456</v>
      </c>
      <c r="R309" s="309">
        <v>5011</v>
      </c>
      <c r="S309" s="60" t="s">
        <v>209</v>
      </c>
      <c r="T309" s="61">
        <v>210</v>
      </c>
      <c r="U309" s="60" t="s">
        <v>500</v>
      </c>
      <c r="V309" s="1">
        <v>3</v>
      </c>
      <c r="W309" s="1" t="s">
        <v>37</v>
      </c>
      <c r="X309" s="1" t="s">
        <v>1199</v>
      </c>
      <c r="Y309" s="2">
        <v>0.44</v>
      </c>
      <c r="Z309" s="2">
        <v>0.59</v>
      </c>
      <c r="AA309" s="2">
        <v>0.57</v>
      </c>
      <c r="AB309" s="2">
        <v>0.57</v>
      </c>
      <c r="AC309" s="2">
        <v>0.44</v>
      </c>
      <c r="AD309" s="2">
        <v>0.38</v>
      </c>
      <c r="AE309" s="2">
        <v>0.12</v>
      </c>
      <c r="AF309" s="2">
        <v>0.16</v>
      </c>
      <c r="AG309" s="2">
        <v>0</v>
      </c>
      <c r="AH309" s="2">
        <v>0</v>
      </c>
      <c r="AI309" s="2">
        <v>0</v>
      </c>
      <c r="AJ309" s="2">
        <v>-3.27</v>
      </c>
      <c r="AK309" s="2">
        <v>0</v>
      </c>
      <c r="AL309" s="2">
        <v>0</v>
      </c>
      <c r="AM309" s="2">
        <v>0</v>
      </c>
      <c r="AN309" s="2">
        <v>0</v>
      </c>
      <c r="AO309" s="2">
        <v>0</v>
      </c>
      <c r="AP309" s="2">
        <v>0</v>
      </c>
      <c r="AQ309" s="2">
        <v>0</v>
      </c>
      <c r="AR309" s="2">
        <v>0</v>
      </c>
      <c r="AS309" s="2">
        <v>0</v>
      </c>
      <c r="AT309" s="2">
        <v>0</v>
      </c>
      <c r="AU309" s="2">
        <v>0</v>
      </c>
      <c r="AV309" s="2">
        <v>0</v>
      </c>
      <c r="AW309" s="1">
        <v>305</v>
      </c>
    </row>
    <row r="310" spans="1:49" ht="12.75">
      <c r="A310" s="5">
        <v>4010</v>
      </c>
      <c r="B310" s="2" t="s">
        <v>1201</v>
      </c>
      <c r="C310" s="305">
        <v>0</v>
      </c>
      <c r="D310" s="305">
        <v>0</v>
      </c>
      <c r="E310" s="305">
        <v>111465.81</v>
      </c>
      <c r="F310" s="305">
        <v>0</v>
      </c>
      <c r="G310" s="305">
        <v>0</v>
      </c>
      <c r="H310" s="305">
        <v>955043.92</v>
      </c>
      <c r="I310" s="305">
        <v>0</v>
      </c>
      <c r="J310" s="1" t="s">
        <v>676</v>
      </c>
      <c r="K310" s="3" t="s">
        <v>982</v>
      </c>
      <c r="L310" s="365"/>
      <c r="M310" s="2">
        <v>0</v>
      </c>
      <c r="N310" s="311">
        <v>410</v>
      </c>
      <c r="O310" s="310" t="s">
        <v>1190</v>
      </c>
      <c r="P310" s="309">
        <v>40</v>
      </c>
      <c r="Q310" s="60" t="s">
        <v>456</v>
      </c>
      <c r="R310" s="309">
        <v>5021</v>
      </c>
      <c r="S310" s="60" t="s">
        <v>201</v>
      </c>
      <c r="T310" s="61">
        <v>120</v>
      </c>
      <c r="U310" s="60" t="s">
        <v>382</v>
      </c>
      <c r="V310" s="1">
        <v>3</v>
      </c>
      <c r="W310" s="1" t="s">
        <v>37</v>
      </c>
      <c r="X310" s="1" t="s">
        <v>1202</v>
      </c>
      <c r="Y310" s="2">
        <v>70286.87</v>
      </c>
      <c r="Z310" s="2">
        <v>67655.23</v>
      </c>
      <c r="AA310" s="2">
        <v>89819</v>
      </c>
      <c r="AB310" s="2">
        <v>107495.46</v>
      </c>
      <c r="AC310" s="2">
        <v>122218.66</v>
      </c>
      <c r="AD310" s="2">
        <v>62966.42</v>
      </c>
      <c r="AE310" s="2">
        <v>114464.3</v>
      </c>
      <c r="AF310" s="2">
        <v>111607.95</v>
      </c>
      <c r="AG310" s="2">
        <v>97064.22</v>
      </c>
      <c r="AH310" s="2">
        <v>0</v>
      </c>
      <c r="AI310" s="2">
        <v>0</v>
      </c>
      <c r="AJ310" s="2">
        <v>111465.81</v>
      </c>
      <c r="AK310" s="2">
        <v>0</v>
      </c>
      <c r="AL310" s="2">
        <v>0</v>
      </c>
      <c r="AM310" s="2">
        <v>0</v>
      </c>
      <c r="AN310" s="2">
        <v>0</v>
      </c>
      <c r="AO310" s="2">
        <v>0</v>
      </c>
      <c r="AP310" s="2">
        <v>0</v>
      </c>
      <c r="AQ310" s="2">
        <v>0</v>
      </c>
      <c r="AR310" s="2">
        <v>0</v>
      </c>
      <c r="AS310" s="2">
        <v>0</v>
      </c>
      <c r="AT310" s="2">
        <v>0</v>
      </c>
      <c r="AU310" s="2">
        <v>0</v>
      </c>
      <c r="AV310" s="2">
        <v>0</v>
      </c>
      <c r="AW310" s="1">
        <v>306</v>
      </c>
    </row>
    <row r="311" spans="1:49" ht="12.75">
      <c r="A311" s="5">
        <v>4010</v>
      </c>
      <c r="B311" s="2" t="s">
        <v>1203</v>
      </c>
      <c r="C311" s="305">
        <v>19998.12</v>
      </c>
      <c r="D311" s="305">
        <v>0</v>
      </c>
      <c r="E311" s="305">
        <v>2014.73</v>
      </c>
      <c r="F311" s="305">
        <v>156445.86</v>
      </c>
      <c r="G311" s="305">
        <v>0</v>
      </c>
      <c r="H311" s="305">
        <v>24509.14</v>
      </c>
      <c r="I311" s="305">
        <v>0</v>
      </c>
      <c r="J311" s="1" t="s">
        <v>678</v>
      </c>
      <c r="K311" s="3" t="s">
        <v>982</v>
      </c>
      <c r="L311" s="365"/>
      <c r="M311" s="2">
        <v>156445.86</v>
      </c>
      <c r="N311" s="311">
        <v>410</v>
      </c>
      <c r="O311" s="310" t="s">
        <v>1190</v>
      </c>
      <c r="P311" s="309">
        <v>40</v>
      </c>
      <c r="Q311" s="60" t="s">
        <v>456</v>
      </c>
      <c r="R311" s="309">
        <v>5019</v>
      </c>
      <c r="S311" s="60" t="s">
        <v>679</v>
      </c>
      <c r="T311" s="61">
        <v>120</v>
      </c>
      <c r="U311" s="60" t="s">
        <v>382</v>
      </c>
      <c r="V311" s="1">
        <v>3</v>
      </c>
      <c r="W311" s="1" t="s">
        <v>37</v>
      </c>
      <c r="X311" s="1" t="s">
        <v>1204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12493.85</v>
      </c>
      <c r="AI311" s="2">
        <v>10000.56</v>
      </c>
      <c r="AJ311" s="2">
        <v>2014.73</v>
      </c>
      <c r="AK311" s="2">
        <v>10034.93</v>
      </c>
      <c r="AL311" s="2">
        <v>10361.23</v>
      </c>
      <c r="AM311" s="2">
        <v>9691.53</v>
      </c>
      <c r="AN311" s="2">
        <v>11494.88</v>
      </c>
      <c r="AO311" s="2">
        <v>14339.77</v>
      </c>
      <c r="AP311" s="2">
        <v>13496.57</v>
      </c>
      <c r="AQ311" s="2">
        <v>12971.01</v>
      </c>
      <c r="AR311" s="2">
        <v>12474.12</v>
      </c>
      <c r="AS311" s="2">
        <v>13625.47</v>
      </c>
      <c r="AT311" s="2">
        <v>15580.74</v>
      </c>
      <c r="AU311" s="2">
        <v>12377.49</v>
      </c>
      <c r="AV311" s="2">
        <v>19998.12</v>
      </c>
      <c r="AW311" s="1">
        <v>307</v>
      </c>
    </row>
    <row r="312" spans="1:49" ht="12.75">
      <c r="A312" s="5">
        <v>4010</v>
      </c>
      <c r="B312" s="2" t="s">
        <v>1205</v>
      </c>
      <c r="C312" s="305">
        <v>17394</v>
      </c>
      <c r="D312" s="305">
        <v>0</v>
      </c>
      <c r="E312" s="305">
        <v>-13435.97</v>
      </c>
      <c r="F312" s="305">
        <v>183302.04</v>
      </c>
      <c r="G312" s="305">
        <v>0</v>
      </c>
      <c r="H312" s="305">
        <v>16920.41</v>
      </c>
      <c r="I312" s="305">
        <v>0</v>
      </c>
      <c r="J312" s="1" t="s">
        <v>681</v>
      </c>
      <c r="K312" s="3" t="s">
        <v>982</v>
      </c>
      <c r="L312" s="365"/>
      <c r="M312" s="2">
        <v>183302.04</v>
      </c>
      <c r="N312" s="311">
        <v>410</v>
      </c>
      <c r="O312" s="310" t="s">
        <v>1190</v>
      </c>
      <c r="P312" s="309">
        <v>40</v>
      </c>
      <c r="Q312" s="60" t="s">
        <v>456</v>
      </c>
      <c r="R312" s="309">
        <v>5019</v>
      </c>
      <c r="S312" s="60" t="s">
        <v>679</v>
      </c>
      <c r="T312" s="61">
        <v>120</v>
      </c>
      <c r="U312" s="60" t="s">
        <v>382</v>
      </c>
      <c r="V312" s="1">
        <v>3</v>
      </c>
      <c r="W312" s="1" t="s">
        <v>37</v>
      </c>
      <c r="X312" s="1" t="s">
        <v>1204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16427.76</v>
      </c>
      <c r="AI312" s="2">
        <v>13928.62</v>
      </c>
      <c r="AJ312" s="2">
        <v>-13435.97</v>
      </c>
      <c r="AK312" s="2">
        <v>11314.91</v>
      </c>
      <c r="AL312" s="2">
        <v>11261.78</v>
      </c>
      <c r="AM312" s="2">
        <v>16008.41</v>
      </c>
      <c r="AN312" s="2">
        <v>16679.67</v>
      </c>
      <c r="AO312" s="2">
        <v>18598.34</v>
      </c>
      <c r="AP312" s="2">
        <v>17070.46</v>
      </c>
      <c r="AQ312" s="2">
        <v>15526.32</v>
      </c>
      <c r="AR312" s="2">
        <v>14638.88</v>
      </c>
      <c r="AS312" s="2">
        <v>14779.17</v>
      </c>
      <c r="AT312" s="2">
        <v>15450.35</v>
      </c>
      <c r="AU312" s="2">
        <v>14579.75</v>
      </c>
      <c r="AV312" s="2">
        <v>17394</v>
      </c>
      <c r="AW312" s="1">
        <v>308</v>
      </c>
    </row>
    <row r="313" spans="1:49" ht="12.75">
      <c r="A313" s="5">
        <v>4010</v>
      </c>
      <c r="B313" s="2" t="s">
        <v>1206</v>
      </c>
      <c r="C313" s="305">
        <v>2326.2</v>
      </c>
      <c r="D313" s="305">
        <v>0</v>
      </c>
      <c r="E313" s="305">
        <v>-23904.16</v>
      </c>
      <c r="F313" s="305">
        <v>213664.22</v>
      </c>
      <c r="G313" s="305">
        <v>0</v>
      </c>
      <c r="H313" s="305">
        <v>3512.52</v>
      </c>
      <c r="I313" s="305">
        <v>0</v>
      </c>
      <c r="J313" s="1" t="s">
        <v>683</v>
      </c>
      <c r="K313" s="3" t="s">
        <v>982</v>
      </c>
      <c r="L313" s="365"/>
      <c r="M313" s="2">
        <v>213664.22</v>
      </c>
      <c r="N313" s="311">
        <v>410</v>
      </c>
      <c r="O313" s="310" t="s">
        <v>1190</v>
      </c>
      <c r="P313" s="309">
        <v>40</v>
      </c>
      <c r="Q313" s="60" t="s">
        <v>456</v>
      </c>
      <c r="R313" s="309">
        <v>5019</v>
      </c>
      <c r="S313" s="60" t="s">
        <v>679</v>
      </c>
      <c r="T313" s="61">
        <v>120</v>
      </c>
      <c r="U313" s="60" t="s">
        <v>382</v>
      </c>
      <c r="V313" s="1">
        <v>3</v>
      </c>
      <c r="W313" s="1" t="s">
        <v>37</v>
      </c>
      <c r="X313" s="1" t="s">
        <v>1204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2">
        <v>14306.68</v>
      </c>
      <c r="AI313" s="2">
        <v>13110</v>
      </c>
      <c r="AJ313" s="2">
        <v>-23904.16</v>
      </c>
      <c r="AK313" s="2">
        <v>14644.49</v>
      </c>
      <c r="AL313" s="2">
        <v>14394.37</v>
      </c>
      <c r="AM313" s="2">
        <v>14951.31</v>
      </c>
      <c r="AN313" s="2">
        <v>15290.03</v>
      </c>
      <c r="AO313" s="2">
        <v>19782.38</v>
      </c>
      <c r="AP313" s="2">
        <v>18752.32</v>
      </c>
      <c r="AQ313" s="2">
        <v>15327.61</v>
      </c>
      <c r="AR313" s="2">
        <v>21896.8</v>
      </c>
      <c r="AS313" s="2">
        <v>25869.88</v>
      </c>
      <c r="AT313" s="2">
        <v>24492.44</v>
      </c>
      <c r="AU313" s="2">
        <v>25936.39</v>
      </c>
      <c r="AV313" s="2">
        <v>2326.2</v>
      </c>
      <c r="AW313" s="1">
        <v>309</v>
      </c>
    </row>
    <row r="314" spans="1:49" ht="12.75">
      <c r="A314" s="5">
        <v>4010</v>
      </c>
      <c r="B314" s="2" t="s">
        <v>1207</v>
      </c>
      <c r="C314" s="305">
        <v>6866.13</v>
      </c>
      <c r="D314" s="305">
        <v>0</v>
      </c>
      <c r="E314" s="305">
        <v>1304.09</v>
      </c>
      <c r="F314" s="305">
        <v>8802.41</v>
      </c>
      <c r="G314" s="305">
        <v>0</v>
      </c>
      <c r="H314" s="305">
        <v>1532.78</v>
      </c>
      <c r="I314" s="305">
        <v>0</v>
      </c>
      <c r="J314" s="1" t="s">
        <v>685</v>
      </c>
      <c r="K314" s="3" t="s">
        <v>982</v>
      </c>
      <c r="L314" s="365"/>
      <c r="M314" s="2">
        <v>8802.41</v>
      </c>
      <c r="N314" s="311">
        <v>410</v>
      </c>
      <c r="O314" s="310" t="s">
        <v>1190</v>
      </c>
      <c r="P314" s="309">
        <v>40</v>
      </c>
      <c r="Q314" s="60" t="s">
        <v>456</v>
      </c>
      <c r="R314" s="309">
        <v>5019</v>
      </c>
      <c r="S314" s="60" t="s">
        <v>679</v>
      </c>
      <c r="T314" s="61">
        <v>120</v>
      </c>
      <c r="U314" s="60" t="s">
        <v>382</v>
      </c>
      <c r="V314" s="1">
        <v>3</v>
      </c>
      <c r="W314" s="1" t="s">
        <v>37</v>
      </c>
      <c r="X314" s="1" t="s">
        <v>1204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  <c r="AH314" s="2">
        <v>71.51</v>
      </c>
      <c r="AI314" s="2">
        <v>157.18</v>
      </c>
      <c r="AJ314" s="2">
        <v>1304.09</v>
      </c>
      <c r="AK314" s="2">
        <v>226.92</v>
      </c>
      <c r="AL314" s="2">
        <v>30.16</v>
      </c>
      <c r="AM314" s="2">
        <v>114.35</v>
      </c>
      <c r="AN314" s="2">
        <v>254.37</v>
      </c>
      <c r="AO314" s="2">
        <v>300.45</v>
      </c>
      <c r="AP314" s="2">
        <v>222.29</v>
      </c>
      <c r="AQ314" s="2">
        <v>158.35</v>
      </c>
      <c r="AR314" s="2">
        <v>250.82</v>
      </c>
      <c r="AS314" s="2">
        <v>213.78</v>
      </c>
      <c r="AT314" s="2">
        <v>23.72</v>
      </c>
      <c r="AU314" s="2">
        <v>141.07</v>
      </c>
      <c r="AV314" s="2">
        <v>6866.13</v>
      </c>
      <c r="AW314" s="1">
        <v>310</v>
      </c>
    </row>
    <row r="315" spans="1:49" ht="12.75">
      <c r="A315" s="5">
        <v>4010</v>
      </c>
      <c r="B315" s="2" t="s">
        <v>1208</v>
      </c>
      <c r="C315" s="305">
        <v>-120.61</v>
      </c>
      <c r="D315" s="305">
        <v>0</v>
      </c>
      <c r="E315" s="305">
        <v>2975.73</v>
      </c>
      <c r="F315" s="305">
        <v>10854.84</v>
      </c>
      <c r="G315" s="305">
        <v>0</v>
      </c>
      <c r="H315" s="305">
        <v>4501.14</v>
      </c>
      <c r="I315" s="305">
        <v>0</v>
      </c>
      <c r="J315" s="1" t="s">
        <v>687</v>
      </c>
      <c r="K315" s="3" t="s">
        <v>982</v>
      </c>
      <c r="L315" s="365"/>
      <c r="M315" s="2">
        <v>10854.84</v>
      </c>
      <c r="N315" s="311">
        <v>410</v>
      </c>
      <c r="O315" s="310" t="s">
        <v>1190</v>
      </c>
      <c r="P315" s="309">
        <v>40</v>
      </c>
      <c r="Q315" s="60" t="s">
        <v>456</v>
      </c>
      <c r="R315" s="309">
        <v>5019</v>
      </c>
      <c r="S315" s="60" t="s">
        <v>679</v>
      </c>
      <c r="T315" s="61">
        <v>120</v>
      </c>
      <c r="U315" s="60" t="s">
        <v>382</v>
      </c>
      <c r="V315" s="1">
        <v>3</v>
      </c>
      <c r="W315" s="1" t="s">
        <v>37</v>
      </c>
      <c r="X315" s="1" t="s">
        <v>1204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863.28</v>
      </c>
      <c r="AI315" s="2">
        <v>662.13</v>
      </c>
      <c r="AJ315" s="2">
        <v>2975.73</v>
      </c>
      <c r="AK315" s="2">
        <v>774.54</v>
      </c>
      <c r="AL315" s="2">
        <v>443.43</v>
      </c>
      <c r="AM315" s="2">
        <v>806</v>
      </c>
      <c r="AN315" s="2">
        <v>873.79</v>
      </c>
      <c r="AO315" s="2">
        <v>1071.7</v>
      </c>
      <c r="AP315" s="2">
        <v>1130.42</v>
      </c>
      <c r="AQ315" s="2">
        <v>916.98</v>
      </c>
      <c r="AR315" s="2">
        <v>1332.52</v>
      </c>
      <c r="AS315" s="2">
        <v>1512.83</v>
      </c>
      <c r="AT315" s="2">
        <v>1182.6</v>
      </c>
      <c r="AU315" s="2">
        <v>930.64</v>
      </c>
      <c r="AV315" s="2">
        <v>-120.61</v>
      </c>
      <c r="AW315" s="1">
        <v>311</v>
      </c>
    </row>
    <row r="316" spans="1:49" ht="12.75">
      <c r="A316" s="5">
        <v>4010</v>
      </c>
      <c r="B316" s="2" t="s">
        <v>1209</v>
      </c>
      <c r="C316" s="305">
        <v>2926.05</v>
      </c>
      <c r="D316" s="305">
        <v>0</v>
      </c>
      <c r="E316" s="305">
        <v>-11627.78</v>
      </c>
      <c r="F316" s="305">
        <v>313261.42</v>
      </c>
      <c r="G316" s="305">
        <v>0</v>
      </c>
      <c r="H316" s="305">
        <v>40900.07</v>
      </c>
      <c r="I316" s="305">
        <v>0</v>
      </c>
      <c r="J316" s="1" t="s">
        <v>689</v>
      </c>
      <c r="K316" s="3" t="s">
        <v>982</v>
      </c>
      <c r="L316" s="365"/>
      <c r="M316" s="2">
        <v>313261.42</v>
      </c>
      <c r="N316" s="311">
        <v>410</v>
      </c>
      <c r="O316" s="310" t="s">
        <v>1190</v>
      </c>
      <c r="P316" s="309">
        <v>40</v>
      </c>
      <c r="Q316" s="60" t="s">
        <v>456</v>
      </c>
      <c r="R316" s="309">
        <v>5019</v>
      </c>
      <c r="S316" s="60" t="s">
        <v>679</v>
      </c>
      <c r="T316" s="61">
        <v>120</v>
      </c>
      <c r="U316" s="60" t="s">
        <v>382</v>
      </c>
      <c r="V316" s="1">
        <v>3</v>
      </c>
      <c r="W316" s="1" t="s">
        <v>37</v>
      </c>
      <c r="X316" s="1" t="s">
        <v>1204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27791.44</v>
      </c>
      <c r="AI316" s="2">
        <v>24736.41</v>
      </c>
      <c r="AJ316" s="2">
        <v>-11627.78</v>
      </c>
      <c r="AK316" s="2">
        <v>24752.37</v>
      </c>
      <c r="AL316" s="2">
        <v>23632.96</v>
      </c>
      <c r="AM316" s="2">
        <v>30390.7</v>
      </c>
      <c r="AN316" s="2">
        <v>30659.94</v>
      </c>
      <c r="AO316" s="2">
        <v>28950.86</v>
      </c>
      <c r="AP316" s="2">
        <v>30411.21</v>
      </c>
      <c r="AQ316" s="2">
        <v>25944.7</v>
      </c>
      <c r="AR316" s="2">
        <v>28207.52</v>
      </c>
      <c r="AS316" s="2">
        <v>31624.51</v>
      </c>
      <c r="AT316" s="2">
        <v>28483.65</v>
      </c>
      <c r="AU316" s="2">
        <v>27276.95</v>
      </c>
      <c r="AV316" s="2">
        <v>2926.05</v>
      </c>
      <c r="AW316" s="1">
        <v>312</v>
      </c>
    </row>
    <row r="317" spans="1:49" ht="12.75">
      <c r="A317" s="5">
        <v>4010</v>
      </c>
      <c r="B317" s="2" t="s">
        <v>1210</v>
      </c>
      <c r="C317" s="305">
        <v>-2720</v>
      </c>
      <c r="D317" s="305">
        <v>0</v>
      </c>
      <c r="E317" s="305">
        <v>-896</v>
      </c>
      <c r="F317" s="305">
        <v>2944</v>
      </c>
      <c r="G317" s="305">
        <v>0</v>
      </c>
      <c r="H317" s="305">
        <v>0</v>
      </c>
      <c r="I317" s="305">
        <v>0</v>
      </c>
      <c r="J317" s="1" t="s">
        <v>885</v>
      </c>
      <c r="K317" s="3" t="s">
        <v>982</v>
      </c>
      <c r="L317" s="365"/>
      <c r="M317" s="2">
        <v>2944</v>
      </c>
      <c r="N317" s="311">
        <v>410</v>
      </c>
      <c r="O317" s="310" t="s">
        <v>1190</v>
      </c>
      <c r="P317" s="309">
        <v>40</v>
      </c>
      <c r="Q317" s="60" t="s">
        <v>456</v>
      </c>
      <c r="R317" s="309">
        <v>5019</v>
      </c>
      <c r="S317" s="60" t="s">
        <v>679</v>
      </c>
      <c r="T317" s="61">
        <v>120</v>
      </c>
      <c r="U317" s="60" t="s">
        <v>382</v>
      </c>
      <c r="V317" s="1">
        <v>3</v>
      </c>
      <c r="W317" s="1" t="s">
        <v>37</v>
      </c>
      <c r="X317" s="1" t="s">
        <v>1204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400</v>
      </c>
      <c r="AI317" s="2">
        <v>496</v>
      </c>
      <c r="AJ317" s="2">
        <v>-896</v>
      </c>
      <c r="AK317" s="2">
        <v>560</v>
      </c>
      <c r="AL317" s="2">
        <v>240</v>
      </c>
      <c r="AM317" s="2">
        <v>432</v>
      </c>
      <c r="AN317" s="2">
        <v>384</v>
      </c>
      <c r="AO317" s="2">
        <v>400</v>
      </c>
      <c r="AP317" s="2">
        <v>384</v>
      </c>
      <c r="AQ317" s="2">
        <v>208</v>
      </c>
      <c r="AR317" s="2">
        <v>336</v>
      </c>
      <c r="AS317" s="2">
        <v>784</v>
      </c>
      <c r="AT317" s="2">
        <v>880</v>
      </c>
      <c r="AU317" s="2">
        <v>1056</v>
      </c>
      <c r="AV317" s="2">
        <v>-2720</v>
      </c>
      <c r="AW317" s="1">
        <v>313</v>
      </c>
    </row>
    <row r="318" spans="1:49" ht="12.75">
      <c r="A318" s="5">
        <v>4010</v>
      </c>
      <c r="B318" s="2" t="s">
        <v>1211</v>
      </c>
      <c r="C318" s="305">
        <v>35319.96</v>
      </c>
      <c r="D318" s="305">
        <v>0</v>
      </c>
      <c r="E318" s="305">
        <v>5477.26</v>
      </c>
      <c r="F318" s="305">
        <v>35599.96</v>
      </c>
      <c r="G318" s="305">
        <v>0</v>
      </c>
      <c r="H318" s="305">
        <v>5477.26</v>
      </c>
      <c r="I318" s="305">
        <v>0</v>
      </c>
      <c r="J318" s="1" t="s">
        <v>691</v>
      </c>
      <c r="K318" s="3" t="s">
        <v>982</v>
      </c>
      <c r="L318" s="365"/>
      <c r="M318" s="2">
        <v>35599.96</v>
      </c>
      <c r="N318" s="311">
        <v>410</v>
      </c>
      <c r="O318" s="310" t="s">
        <v>1190</v>
      </c>
      <c r="P318" s="309">
        <v>40</v>
      </c>
      <c r="Q318" s="60" t="s">
        <v>456</v>
      </c>
      <c r="R318" s="309">
        <v>5019</v>
      </c>
      <c r="S318" s="60" t="s">
        <v>679</v>
      </c>
      <c r="T318" s="61">
        <v>120</v>
      </c>
      <c r="U318" s="60" t="s">
        <v>382</v>
      </c>
      <c r="V318" s="1">
        <v>3</v>
      </c>
      <c r="W318" s="1" t="s">
        <v>37</v>
      </c>
      <c r="X318" s="1" t="s">
        <v>1204</v>
      </c>
      <c r="Y318" s="2">
        <v>0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2">
        <v>5477.26</v>
      </c>
      <c r="AK318" s="2">
        <v>0</v>
      </c>
      <c r="AL318" s="2">
        <v>0</v>
      </c>
      <c r="AM318" s="2">
        <v>40</v>
      </c>
      <c r="AN318" s="2">
        <v>0</v>
      </c>
      <c r="AO318" s="2">
        <v>0</v>
      </c>
      <c r="AP318" s="2">
        <v>60</v>
      </c>
      <c r="AQ318" s="2">
        <v>0</v>
      </c>
      <c r="AR318" s="2">
        <v>20</v>
      </c>
      <c r="AS318" s="2">
        <v>0</v>
      </c>
      <c r="AT318" s="2">
        <v>160</v>
      </c>
      <c r="AU318" s="2">
        <v>0</v>
      </c>
      <c r="AV318" s="2">
        <v>35319.96</v>
      </c>
      <c r="AW318" s="1">
        <v>314</v>
      </c>
    </row>
    <row r="319" spans="1:49" ht="12.75">
      <c r="A319" s="5">
        <v>4010</v>
      </c>
      <c r="B319" s="2" t="s">
        <v>1212</v>
      </c>
      <c r="C319" s="305">
        <v>-4033.34</v>
      </c>
      <c r="D319" s="305">
        <v>0</v>
      </c>
      <c r="E319" s="305">
        <v>-19060.68</v>
      </c>
      <c r="F319" s="305">
        <v>48833.31</v>
      </c>
      <c r="G319" s="305">
        <v>0</v>
      </c>
      <c r="H319" s="305">
        <v>-10881.65</v>
      </c>
      <c r="I319" s="305">
        <v>0</v>
      </c>
      <c r="J319" s="1" t="s">
        <v>693</v>
      </c>
      <c r="K319" s="3" t="s">
        <v>982</v>
      </c>
      <c r="L319" s="365"/>
      <c r="M319" s="2">
        <v>48833.31</v>
      </c>
      <c r="N319" s="311">
        <v>410</v>
      </c>
      <c r="O319" s="310" t="s">
        <v>1190</v>
      </c>
      <c r="P319" s="309">
        <v>40</v>
      </c>
      <c r="Q319" s="60" t="s">
        <v>456</v>
      </c>
      <c r="R319" s="309">
        <v>5019</v>
      </c>
      <c r="S319" s="60" t="s">
        <v>679</v>
      </c>
      <c r="T319" s="61">
        <v>120</v>
      </c>
      <c r="U319" s="60" t="s">
        <v>382</v>
      </c>
      <c r="V319" s="1">
        <v>3</v>
      </c>
      <c r="W319" s="1" t="s">
        <v>37</v>
      </c>
      <c r="X319" s="1" t="s">
        <v>1204</v>
      </c>
      <c r="Y319" s="2">
        <v>0</v>
      </c>
      <c r="Z319" s="2">
        <v>0</v>
      </c>
      <c r="AA319" s="2">
        <v>0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2">
        <v>5265.97</v>
      </c>
      <c r="AI319" s="2">
        <v>2913.06</v>
      </c>
      <c r="AJ319" s="2">
        <v>-19060.68</v>
      </c>
      <c r="AK319" s="2">
        <v>2297.36</v>
      </c>
      <c r="AL319" s="2">
        <v>2675.83</v>
      </c>
      <c r="AM319" s="2">
        <v>8395.63</v>
      </c>
      <c r="AN319" s="2">
        <v>7596.53</v>
      </c>
      <c r="AO319" s="2">
        <v>6064.95</v>
      </c>
      <c r="AP319" s="2">
        <v>5557.55</v>
      </c>
      <c r="AQ319" s="2">
        <v>6328.27</v>
      </c>
      <c r="AR319" s="2">
        <v>6397.37</v>
      </c>
      <c r="AS319" s="2">
        <v>3275.51</v>
      </c>
      <c r="AT319" s="2">
        <v>2820.1</v>
      </c>
      <c r="AU319" s="2">
        <v>1457.55</v>
      </c>
      <c r="AV319" s="2">
        <v>-4033.34</v>
      </c>
      <c r="AW319" s="1">
        <v>315</v>
      </c>
    </row>
    <row r="320" spans="1:49" ht="12.75">
      <c r="A320" s="5">
        <v>4010</v>
      </c>
      <c r="B320" s="2" t="s">
        <v>1213</v>
      </c>
      <c r="C320" s="305">
        <v>20073.91</v>
      </c>
      <c r="D320" s="305">
        <v>0</v>
      </c>
      <c r="E320" s="305">
        <v>-30848.77</v>
      </c>
      <c r="F320" s="305">
        <v>20073.91</v>
      </c>
      <c r="G320" s="305">
        <v>0</v>
      </c>
      <c r="H320" s="305">
        <v>-30848.77</v>
      </c>
      <c r="I320" s="305">
        <v>0</v>
      </c>
      <c r="J320" s="1" t="s">
        <v>695</v>
      </c>
      <c r="K320" s="3" t="s">
        <v>982</v>
      </c>
      <c r="L320" s="365"/>
      <c r="M320" s="2">
        <v>20073.91</v>
      </c>
      <c r="N320" s="311">
        <v>410</v>
      </c>
      <c r="O320" s="310" t="s">
        <v>1190</v>
      </c>
      <c r="P320" s="309">
        <v>40</v>
      </c>
      <c r="Q320" s="60" t="s">
        <v>456</v>
      </c>
      <c r="R320" s="309">
        <v>5019</v>
      </c>
      <c r="S320" s="60" t="s">
        <v>679</v>
      </c>
      <c r="T320" s="61">
        <v>120</v>
      </c>
      <c r="U320" s="60" t="s">
        <v>382</v>
      </c>
      <c r="V320" s="1">
        <v>3</v>
      </c>
      <c r="W320" s="1" t="s">
        <v>37</v>
      </c>
      <c r="X320" s="1" t="s">
        <v>1204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2">
        <v>-30848.77</v>
      </c>
      <c r="AK320" s="2">
        <v>0</v>
      </c>
      <c r="AL320" s="2">
        <v>0</v>
      </c>
      <c r="AM320" s="2">
        <v>0</v>
      </c>
      <c r="AN320" s="2">
        <v>0</v>
      </c>
      <c r="AO320" s="2">
        <v>0</v>
      </c>
      <c r="AP320" s="2">
        <v>0</v>
      </c>
      <c r="AQ320" s="2">
        <v>0</v>
      </c>
      <c r="AR320" s="2">
        <v>0</v>
      </c>
      <c r="AS320" s="2">
        <v>0</v>
      </c>
      <c r="AT320" s="2">
        <v>0</v>
      </c>
      <c r="AU320" s="2">
        <v>0</v>
      </c>
      <c r="AV320" s="2">
        <v>20073.91</v>
      </c>
      <c r="AW320" s="1">
        <v>316</v>
      </c>
    </row>
    <row r="321" spans="1:49" ht="12.75">
      <c r="A321" s="5">
        <v>4010</v>
      </c>
      <c r="B321" s="2" t="s">
        <v>1214</v>
      </c>
      <c r="C321" s="305">
        <v>12002.06</v>
      </c>
      <c r="D321" s="305">
        <v>0</v>
      </c>
      <c r="E321" s="305">
        <v>-1510.43</v>
      </c>
      <c r="F321" s="305">
        <v>21150.68</v>
      </c>
      <c r="G321" s="305">
        <v>0</v>
      </c>
      <c r="H321" s="305">
        <v>-29.21</v>
      </c>
      <c r="I321" s="305">
        <v>0</v>
      </c>
      <c r="J321" s="1" t="s">
        <v>697</v>
      </c>
      <c r="K321" s="3" t="s">
        <v>982</v>
      </c>
      <c r="L321" s="365"/>
      <c r="M321" s="2">
        <v>21150.68</v>
      </c>
      <c r="N321" s="311">
        <v>410</v>
      </c>
      <c r="O321" s="310" t="s">
        <v>1190</v>
      </c>
      <c r="P321" s="309">
        <v>40</v>
      </c>
      <c r="Q321" s="60" t="s">
        <v>456</v>
      </c>
      <c r="R321" s="309">
        <v>5021</v>
      </c>
      <c r="S321" s="60" t="s">
        <v>201</v>
      </c>
      <c r="T321" s="61">
        <v>130</v>
      </c>
      <c r="U321" s="60" t="s">
        <v>502</v>
      </c>
      <c r="V321" s="1">
        <v>3</v>
      </c>
      <c r="W321" s="1" t="s">
        <v>37</v>
      </c>
      <c r="X321" s="1" t="s">
        <v>1215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  <c r="AH321" s="2">
        <v>835.76</v>
      </c>
      <c r="AI321" s="2">
        <v>645.46</v>
      </c>
      <c r="AJ321" s="2">
        <v>-1510.43</v>
      </c>
      <c r="AK321" s="2">
        <v>558.85</v>
      </c>
      <c r="AL321" s="2">
        <v>543.85</v>
      </c>
      <c r="AM321" s="2">
        <v>811.77</v>
      </c>
      <c r="AN321" s="2">
        <v>1016.37</v>
      </c>
      <c r="AO321" s="2">
        <v>1079.91</v>
      </c>
      <c r="AP321" s="2">
        <v>807.66</v>
      </c>
      <c r="AQ321" s="2">
        <v>973.18</v>
      </c>
      <c r="AR321" s="2">
        <v>877.11</v>
      </c>
      <c r="AS321" s="2">
        <v>761.22</v>
      </c>
      <c r="AT321" s="2">
        <v>853.92</v>
      </c>
      <c r="AU321" s="2">
        <v>864.78</v>
      </c>
      <c r="AV321" s="2">
        <v>12002.06</v>
      </c>
      <c r="AW321" s="1">
        <v>317</v>
      </c>
    </row>
    <row r="322" spans="1:49" ht="12.75">
      <c r="A322" s="5">
        <v>4010</v>
      </c>
      <c r="B322" s="2" t="s">
        <v>1216</v>
      </c>
      <c r="C322" s="305">
        <v>-3428.55</v>
      </c>
      <c r="D322" s="305">
        <v>0</v>
      </c>
      <c r="E322" s="305">
        <v>-2556.57</v>
      </c>
      <c r="F322" s="305">
        <v>16137.13</v>
      </c>
      <c r="G322" s="305">
        <v>0</v>
      </c>
      <c r="H322" s="305">
        <v>0</v>
      </c>
      <c r="I322" s="305">
        <v>0</v>
      </c>
      <c r="J322" s="1" t="s">
        <v>699</v>
      </c>
      <c r="K322" s="3" t="s">
        <v>982</v>
      </c>
      <c r="L322" s="365"/>
      <c r="M322" s="2">
        <v>16137.13</v>
      </c>
      <c r="N322" s="311">
        <v>410</v>
      </c>
      <c r="O322" s="310" t="s">
        <v>1190</v>
      </c>
      <c r="P322" s="309">
        <v>40</v>
      </c>
      <c r="Q322" s="60" t="s">
        <v>456</v>
      </c>
      <c r="R322" s="309">
        <v>5021</v>
      </c>
      <c r="S322" s="60" t="s">
        <v>201</v>
      </c>
      <c r="T322" s="61">
        <v>130</v>
      </c>
      <c r="U322" s="60" t="s">
        <v>502</v>
      </c>
      <c r="V322" s="1">
        <v>3</v>
      </c>
      <c r="W322" s="1" t="s">
        <v>37</v>
      </c>
      <c r="X322" s="1" t="s">
        <v>1215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1240.46</v>
      </c>
      <c r="AI322" s="2">
        <v>1316.11</v>
      </c>
      <c r="AJ322" s="2">
        <v>-2556.57</v>
      </c>
      <c r="AK322" s="2">
        <v>1957.8</v>
      </c>
      <c r="AL322" s="2">
        <v>1639.34</v>
      </c>
      <c r="AM322" s="2">
        <v>1924.75</v>
      </c>
      <c r="AN322" s="2">
        <v>1335.85</v>
      </c>
      <c r="AO322" s="2">
        <v>1406.09</v>
      </c>
      <c r="AP322" s="2">
        <v>1585.15</v>
      </c>
      <c r="AQ322" s="2">
        <v>1620.9</v>
      </c>
      <c r="AR322" s="2">
        <v>1858.65</v>
      </c>
      <c r="AS322" s="2">
        <v>2578.71</v>
      </c>
      <c r="AT322" s="2">
        <v>1990.53</v>
      </c>
      <c r="AU322" s="2">
        <v>1667.91</v>
      </c>
      <c r="AV322" s="2">
        <v>-3428.55</v>
      </c>
      <c r="AW322" s="1">
        <v>318</v>
      </c>
    </row>
    <row r="323" spans="1:49" ht="12.75">
      <c r="A323" s="5">
        <v>4010</v>
      </c>
      <c r="B323" s="2" t="s">
        <v>1217</v>
      </c>
      <c r="C323" s="305">
        <v>-66.43</v>
      </c>
      <c r="D323" s="305">
        <v>0</v>
      </c>
      <c r="E323" s="305">
        <v>-816.19</v>
      </c>
      <c r="F323" s="305">
        <v>109.89</v>
      </c>
      <c r="G323" s="305">
        <v>0</v>
      </c>
      <c r="H323" s="305">
        <v>-800</v>
      </c>
      <c r="I323" s="305">
        <v>0</v>
      </c>
      <c r="J323" s="1" t="s">
        <v>701</v>
      </c>
      <c r="K323" s="3" t="s">
        <v>982</v>
      </c>
      <c r="L323" s="365"/>
      <c r="M323" s="2">
        <v>109.89</v>
      </c>
      <c r="N323" s="311">
        <v>410</v>
      </c>
      <c r="O323" s="310" t="s">
        <v>1190</v>
      </c>
      <c r="P323" s="309">
        <v>40</v>
      </c>
      <c r="Q323" s="60" t="s">
        <v>456</v>
      </c>
      <c r="R323" s="309">
        <v>5021</v>
      </c>
      <c r="S323" s="60" t="s">
        <v>201</v>
      </c>
      <c r="T323" s="61">
        <v>130</v>
      </c>
      <c r="U323" s="60" t="s">
        <v>502</v>
      </c>
      <c r="V323" s="1">
        <v>3</v>
      </c>
      <c r="W323" s="1" t="s">
        <v>37</v>
      </c>
      <c r="X323" s="1" t="s">
        <v>1215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2">
        <v>0</v>
      </c>
      <c r="AI323" s="2">
        <v>16.19</v>
      </c>
      <c r="AJ323" s="2">
        <v>-816.19</v>
      </c>
      <c r="AK323" s="2">
        <v>40.56</v>
      </c>
      <c r="AL323" s="2">
        <v>0</v>
      </c>
      <c r="AM323" s="2">
        <v>27.04</v>
      </c>
      <c r="AN323" s="2">
        <v>31.68</v>
      </c>
      <c r="AO323" s="2">
        <v>5.28</v>
      </c>
      <c r="AP323" s="2">
        <v>5.28</v>
      </c>
      <c r="AQ323" s="2">
        <v>5.54</v>
      </c>
      <c r="AR323" s="2">
        <v>0</v>
      </c>
      <c r="AS323" s="2">
        <v>16.62</v>
      </c>
      <c r="AT323" s="2">
        <v>5.54</v>
      </c>
      <c r="AU323" s="2">
        <v>38.78</v>
      </c>
      <c r="AV323" s="2">
        <v>-66.43</v>
      </c>
      <c r="AW323" s="1">
        <v>319</v>
      </c>
    </row>
    <row r="324" spans="1:49" ht="12.75">
      <c r="A324" s="5">
        <v>4010</v>
      </c>
      <c r="B324" s="2" t="s">
        <v>1218</v>
      </c>
      <c r="C324" s="305">
        <v>22112.37</v>
      </c>
      <c r="D324" s="305">
        <v>0</v>
      </c>
      <c r="E324" s="305">
        <v>-25225.37</v>
      </c>
      <c r="F324" s="305">
        <v>191200.41</v>
      </c>
      <c r="G324" s="305">
        <v>0</v>
      </c>
      <c r="H324" s="305">
        <v>5081.17</v>
      </c>
      <c r="I324" s="305">
        <v>0</v>
      </c>
      <c r="J324" s="1" t="s">
        <v>703</v>
      </c>
      <c r="K324" s="3" t="s">
        <v>982</v>
      </c>
      <c r="L324" s="365"/>
      <c r="M324" s="2">
        <v>191200.41</v>
      </c>
      <c r="N324" s="311">
        <v>410</v>
      </c>
      <c r="O324" s="310" t="s">
        <v>1190</v>
      </c>
      <c r="P324" s="309">
        <v>40</v>
      </c>
      <c r="Q324" s="60" t="s">
        <v>456</v>
      </c>
      <c r="R324" s="309">
        <v>5025</v>
      </c>
      <c r="S324" s="60" t="s">
        <v>204</v>
      </c>
      <c r="T324" s="61">
        <v>140</v>
      </c>
      <c r="U324" s="60" t="s">
        <v>504</v>
      </c>
      <c r="V324" s="1">
        <v>3</v>
      </c>
      <c r="W324" s="1" t="s">
        <v>37</v>
      </c>
      <c r="X324" s="1" t="s">
        <v>1219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16476.37</v>
      </c>
      <c r="AI324" s="2">
        <v>13830.17</v>
      </c>
      <c r="AJ324" s="2">
        <v>-25225.37</v>
      </c>
      <c r="AK324" s="2">
        <v>13710.16</v>
      </c>
      <c r="AL324" s="2">
        <v>11230.64</v>
      </c>
      <c r="AM324" s="2">
        <v>14825.98</v>
      </c>
      <c r="AN324" s="2">
        <v>17034.03</v>
      </c>
      <c r="AO324" s="2">
        <v>19516.06</v>
      </c>
      <c r="AP324" s="2">
        <v>20280.58</v>
      </c>
      <c r="AQ324" s="2">
        <v>14827.09</v>
      </c>
      <c r="AR324" s="2">
        <v>15569.76</v>
      </c>
      <c r="AS324" s="2">
        <v>14827.17</v>
      </c>
      <c r="AT324" s="2">
        <v>13606.21</v>
      </c>
      <c r="AU324" s="2">
        <v>13660.36</v>
      </c>
      <c r="AV324" s="2">
        <v>22112.37</v>
      </c>
      <c r="AW324" s="1">
        <v>320</v>
      </c>
    </row>
    <row r="325" spans="1:49" ht="12.75">
      <c r="A325" s="5">
        <v>4010</v>
      </c>
      <c r="B325" s="2" t="s">
        <v>1220</v>
      </c>
      <c r="C325" s="305">
        <v>2296.64</v>
      </c>
      <c r="D325" s="305">
        <v>0</v>
      </c>
      <c r="E325" s="305">
        <v>-13.43</v>
      </c>
      <c r="F325" s="305">
        <v>3263.46</v>
      </c>
      <c r="G325" s="305">
        <v>0</v>
      </c>
      <c r="H325" s="305">
        <v>159.47</v>
      </c>
      <c r="I325" s="305">
        <v>0</v>
      </c>
      <c r="J325" s="1" t="s">
        <v>705</v>
      </c>
      <c r="K325" s="3" t="s">
        <v>982</v>
      </c>
      <c r="L325" s="365"/>
      <c r="M325" s="2">
        <v>3263.46</v>
      </c>
      <c r="N325" s="311">
        <v>410</v>
      </c>
      <c r="O325" s="310" t="s">
        <v>1190</v>
      </c>
      <c r="P325" s="309">
        <v>40</v>
      </c>
      <c r="Q325" s="60" t="s">
        <v>456</v>
      </c>
      <c r="R325" s="309">
        <v>5025</v>
      </c>
      <c r="S325" s="60" t="s">
        <v>204</v>
      </c>
      <c r="T325" s="61">
        <v>140</v>
      </c>
      <c r="U325" s="60" t="s">
        <v>504</v>
      </c>
      <c r="V325" s="1">
        <v>3</v>
      </c>
      <c r="W325" s="1" t="s">
        <v>37</v>
      </c>
      <c r="X325" s="1" t="s">
        <v>1219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  <c r="AH325" s="2">
        <v>93.1</v>
      </c>
      <c r="AI325" s="2">
        <v>79.8</v>
      </c>
      <c r="AJ325" s="2">
        <v>-13.43</v>
      </c>
      <c r="AK325" s="2">
        <v>93.1</v>
      </c>
      <c r="AL325" s="2">
        <v>40.77</v>
      </c>
      <c r="AM325" s="2">
        <v>40.77</v>
      </c>
      <c r="AN325" s="2">
        <v>145.08</v>
      </c>
      <c r="AO325" s="2">
        <v>149.49</v>
      </c>
      <c r="AP325" s="2">
        <v>135.9</v>
      </c>
      <c r="AQ325" s="2">
        <v>54.36</v>
      </c>
      <c r="AR325" s="2">
        <v>67.95</v>
      </c>
      <c r="AS325" s="2">
        <v>53.2</v>
      </c>
      <c r="AT325" s="2">
        <v>66.5</v>
      </c>
      <c r="AU325" s="2">
        <v>119.7</v>
      </c>
      <c r="AV325" s="2">
        <v>2296.64</v>
      </c>
      <c r="AW325" s="1">
        <v>321</v>
      </c>
    </row>
    <row r="326" spans="1:49" ht="12.75">
      <c r="A326" s="5">
        <v>4010</v>
      </c>
      <c r="B326" s="2" t="s">
        <v>1221</v>
      </c>
      <c r="C326" s="305">
        <v>6121.19</v>
      </c>
      <c r="D326" s="305">
        <v>0</v>
      </c>
      <c r="E326" s="305">
        <v>4735.81</v>
      </c>
      <c r="F326" s="305">
        <v>95411.66</v>
      </c>
      <c r="G326" s="305">
        <v>0</v>
      </c>
      <c r="H326" s="305">
        <v>21797.03</v>
      </c>
      <c r="I326" s="305">
        <v>0</v>
      </c>
      <c r="J326" s="1" t="s">
        <v>707</v>
      </c>
      <c r="K326" s="3" t="s">
        <v>982</v>
      </c>
      <c r="L326" s="365"/>
      <c r="M326" s="2">
        <v>95411.66</v>
      </c>
      <c r="N326" s="311">
        <v>410</v>
      </c>
      <c r="O326" s="310" t="s">
        <v>1190</v>
      </c>
      <c r="P326" s="309">
        <v>40</v>
      </c>
      <c r="Q326" s="60" t="s">
        <v>456</v>
      </c>
      <c r="R326" s="309">
        <v>5025</v>
      </c>
      <c r="S326" s="60" t="s">
        <v>204</v>
      </c>
      <c r="T326" s="61">
        <v>140</v>
      </c>
      <c r="U326" s="60" t="s">
        <v>504</v>
      </c>
      <c r="V326" s="1">
        <v>3</v>
      </c>
      <c r="W326" s="1" t="s">
        <v>37</v>
      </c>
      <c r="X326" s="1" t="s">
        <v>1222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9661.33</v>
      </c>
      <c r="AI326" s="2">
        <v>7399.89</v>
      </c>
      <c r="AJ326" s="2">
        <v>4735.81</v>
      </c>
      <c r="AK326" s="2">
        <v>8270.29</v>
      </c>
      <c r="AL326" s="2">
        <v>6307.46</v>
      </c>
      <c r="AM326" s="2">
        <v>8435.13</v>
      </c>
      <c r="AN326" s="2">
        <v>11478.57</v>
      </c>
      <c r="AO326" s="2">
        <v>11009.14</v>
      </c>
      <c r="AP326" s="2">
        <v>10447.47</v>
      </c>
      <c r="AQ326" s="2">
        <v>7086.4</v>
      </c>
      <c r="AR326" s="2">
        <v>6769.67</v>
      </c>
      <c r="AS326" s="2">
        <v>6294.2</v>
      </c>
      <c r="AT326" s="2">
        <v>6885.47</v>
      </c>
      <c r="AU326" s="2">
        <v>6306.67</v>
      </c>
      <c r="AV326" s="2">
        <v>6121.19</v>
      </c>
      <c r="AW326" s="1">
        <v>322</v>
      </c>
    </row>
    <row r="327" spans="1:49" ht="12.75">
      <c r="A327" s="5">
        <v>4010</v>
      </c>
      <c r="B327" s="2" t="s">
        <v>1223</v>
      </c>
      <c r="C327" s="305">
        <v>2279.11</v>
      </c>
      <c r="D327" s="305">
        <v>0</v>
      </c>
      <c r="E327" s="305">
        <v>-302.74</v>
      </c>
      <c r="F327" s="305">
        <v>25623.42</v>
      </c>
      <c r="G327" s="305">
        <v>0</v>
      </c>
      <c r="H327" s="305">
        <v>3220.42</v>
      </c>
      <c r="I327" s="305">
        <v>0</v>
      </c>
      <c r="J327" s="1" t="s">
        <v>709</v>
      </c>
      <c r="K327" s="3" t="s">
        <v>982</v>
      </c>
      <c r="L327" s="365"/>
      <c r="M327" s="2">
        <v>25623.42</v>
      </c>
      <c r="N327" s="311">
        <v>410</v>
      </c>
      <c r="O327" s="310" t="s">
        <v>1190</v>
      </c>
      <c r="P327" s="309">
        <v>40</v>
      </c>
      <c r="Q327" s="60" t="s">
        <v>456</v>
      </c>
      <c r="R327" s="309">
        <v>5025</v>
      </c>
      <c r="S327" s="60" t="s">
        <v>204</v>
      </c>
      <c r="T327" s="61">
        <v>140</v>
      </c>
      <c r="U327" s="60" t="s">
        <v>504</v>
      </c>
      <c r="V327" s="1">
        <v>3</v>
      </c>
      <c r="W327" s="1" t="s">
        <v>37</v>
      </c>
      <c r="X327" s="1" t="s">
        <v>1224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2166.27</v>
      </c>
      <c r="AI327" s="2">
        <v>1356.89</v>
      </c>
      <c r="AJ327" s="2">
        <v>-302.74</v>
      </c>
      <c r="AK327" s="2">
        <v>1325.07</v>
      </c>
      <c r="AL327" s="2">
        <v>1006.65</v>
      </c>
      <c r="AM327" s="2">
        <v>1601.8</v>
      </c>
      <c r="AN327" s="2">
        <v>2364.75</v>
      </c>
      <c r="AO327" s="2">
        <v>2875.88</v>
      </c>
      <c r="AP327" s="2">
        <v>3649.69</v>
      </c>
      <c r="AQ327" s="2">
        <v>2674.35</v>
      </c>
      <c r="AR327" s="2">
        <v>2651.62</v>
      </c>
      <c r="AS327" s="2">
        <v>2302.03</v>
      </c>
      <c r="AT327" s="2">
        <v>1397.46</v>
      </c>
      <c r="AU327" s="2">
        <v>1495.01</v>
      </c>
      <c r="AV327" s="2">
        <v>2279.11</v>
      </c>
      <c r="AW327" s="1">
        <v>323</v>
      </c>
    </row>
    <row r="328" spans="1:49" ht="12.75">
      <c r="A328" s="5">
        <v>4010</v>
      </c>
      <c r="B328" s="2" t="s">
        <v>1225</v>
      </c>
      <c r="C328" s="305">
        <v>4617.05</v>
      </c>
      <c r="D328" s="305">
        <v>0</v>
      </c>
      <c r="E328" s="305">
        <v>-1489.05</v>
      </c>
      <c r="F328" s="305">
        <v>63601.94</v>
      </c>
      <c r="G328" s="305">
        <v>0</v>
      </c>
      <c r="H328" s="305">
        <v>9112.5</v>
      </c>
      <c r="I328" s="305">
        <v>0</v>
      </c>
      <c r="J328" s="1" t="s">
        <v>711</v>
      </c>
      <c r="K328" s="3" t="s">
        <v>982</v>
      </c>
      <c r="L328" s="365"/>
      <c r="M328" s="2">
        <v>63601.94</v>
      </c>
      <c r="N328" s="311">
        <v>410</v>
      </c>
      <c r="O328" s="310" t="s">
        <v>1190</v>
      </c>
      <c r="P328" s="309">
        <v>40</v>
      </c>
      <c r="Q328" s="60" t="s">
        <v>456</v>
      </c>
      <c r="R328" s="309">
        <v>5025</v>
      </c>
      <c r="S328" s="60" t="s">
        <v>204</v>
      </c>
      <c r="T328" s="61">
        <v>140</v>
      </c>
      <c r="U328" s="60" t="s">
        <v>504</v>
      </c>
      <c r="V328" s="1">
        <v>3</v>
      </c>
      <c r="W328" s="1" t="s">
        <v>37</v>
      </c>
      <c r="X328" s="1" t="s">
        <v>1226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0</v>
      </c>
      <c r="AH328" s="2">
        <v>5817.57</v>
      </c>
      <c r="AI328" s="2">
        <v>4783.98</v>
      </c>
      <c r="AJ328" s="2">
        <v>-1489.05</v>
      </c>
      <c r="AK328" s="2">
        <v>4252.71</v>
      </c>
      <c r="AL328" s="2">
        <v>3066.19</v>
      </c>
      <c r="AM328" s="2">
        <v>3489.8</v>
      </c>
      <c r="AN328" s="2">
        <v>6483.6</v>
      </c>
      <c r="AO328" s="2">
        <v>7817.1</v>
      </c>
      <c r="AP328" s="2">
        <v>8417.02</v>
      </c>
      <c r="AQ328" s="2">
        <v>5955.64</v>
      </c>
      <c r="AR328" s="2">
        <v>6288.03</v>
      </c>
      <c r="AS328" s="2">
        <v>5720.61</v>
      </c>
      <c r="AT328" s="2">
        <v>4104.38</v>
      </c>
      <c r="AU328" s="2">
        <v>3389.81</v>
      </c>
      <c r="AV328" s="2">
        <v>4617.05</v>
      </c>
      <c r="AW328" s="1">
        <v>324</v>
      </c>
    </row>
    <row r="329" spans="1:49" ht="12.75">
      <c r="A329" s="5">
        <v>4010</v>
      </c>
      <c r="B329" s="2" t="s">
        <v>1227</v>
      </c>
      <c r="C329" s="305">
        <v>0</v>
      </c>
      <c r="D329" s="305">
        <v>0</v>
      </c>
      <c r="E329" s="305">
        <v>8970.92</v>
      </c>
      <c r="F329" s="305">
        <v>0</v>
      </c>
      <c r="G329" s="305">
        <v>0</v>
      </c>
      <c r="H329" s="305">
        <v>12466</v>
      </c>
      <c r="I329" s="305">
        <v>0</v>
      </c>
      <c r="J329" s="1" t="s">
        <v>713</v>
      </c>
      <c r="K329" s="3" t="s">
        <v>982</v>
      </c>
      <c r="L329" s="365"/>
      <c r="M329" s="2">
        <v>0</v>
      </c>
      <c r="N329" s="311">
        <v>410</v>
      </c>
      <c r="O329" s="310" t="s">
        <v>1190</v>
      </c>
      <c r="P329" s="309">
        <v>40</v>
      </c>
      <c r="Q329" s="60" t="s">
        <v>456</v>
      </c>
      <c r="R329" s="309">
        <v>5014</v>
      </c>
      <c r="S329" s="60" t="s">
        <v>211</v>
      </c>
      <c r="T329" s="61">
        <v>200</v>
      </c>
      <c r="U329" s="60" t="s">
        <v>499</v>
      </c>
      <c r="V329" s="1">
        <v>3</v>
      </c>
      <c r="W329" s="1" t="s">
        <v>37</v>
      </c>
      <c r="X329" s="1" t="s">
        <v>1228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F329" s="2">
        <v>643.61</v>
      </c>
      <c r="AG329" s="2">
        <v>2851.47</v>
      </c>
      <c r="AH329" s="2">
        <v>0</v>
      </c>
      <c r="AI329" s="2">
        <v>0</v>
      </c>
      <c r="AJ329" s="2">
        <v>8970.92</v>
      </c>
      <c r="AK329" s="2">
        <v>0</v>
      </c>
      <c r="AL329" s="2">
        <v>0</v>
      </c>
      <c r="AM329" s="2">
        <v>0</v>
      </c>
      <c r="AN329" s="2">
        <v>0</v>
      </c>
      <c r="AO329" s="2">
        <v>0</v>
      </c>
      <c r="AP329" s="2">
        <v>0</v>
      </c>
      <c r="AQ329" s="2">
        <v>0</v>
      </c>
      <c r="AR329" s="2">
        <v>0</v>
      </c>
      <c r="AS329" s="2">
        <v>0</v>
      </c>
      <c r="AT329" s="2">
        <v>0</v>
      </c>
      <c r="AU329" s="2">
        <v>0</v>
      </c>
      <c r="AV329" s="2">
        <v>0</v>
      </c>
      <c r="AW329" s="1">
        <v>325</v>
      </c>
    </row>
    <row r="330" spans="1:49" ht="12.75">
      <c r="A330" s="5">
        <v>4010</v>
      </c>
      <c r="B330" s="2" t="s">
        <v>1229</v>
      </c>
      <c r="C330" s="305">
        <v>0</v>
      </c>
      <c r="D330" s="305">
        <v>0</v>
      </c>
      <c r="E330" s="305">
        <v>496.69</v>
      </c>
      <c r="F330" s="305">
        <v>0</v>
      </c>
      <c r="G330" s="305">
        <v>0</v>
      </c>
      <c r="H330" s="305">
        <v>496.69</v>
      </c>
      <c r="I330" s="305">
        <v>0</v>
      </c>
      <c r="J330" s="1" t="s">
        <v>600</v>
      </c>
      <c r="K330" s="3" t="s">
        <v>982</v>
      </c>
      <c r="L330" s="365"/>
      <c r="M330" s="2">
        <v>0</v>
      </c>
      <c r="N330" s="311">
        <v>410</v>
      </c>
      <c r="O330" s="310" t="s">
        <v>1190</v>
      </c>
      <c r="P330" s="309">
        <v>10</v>
      </c>
      <c r="Q330" s="60" t="s">
        <v>454</v>
      </c>
      <c r="R330" s="309">
        <v>1001</v>
      </c>
      <c r="S330" s="60" t="s">
        <v>455</v>
      </c>
      <c r="T330" s="61">
        <v>110</v>
      </c>
      <c r="U330" s="60" t="s">
        <v>495</v>
      </c>
      <c r="V330" s="1">
        <v>3</v>
      </c>
      <c r="W330" s="1" t="s">
        <v>37</v>
      </c>
      <c r="X330" s="1" t="s">
        <v>1195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0</v>
      </c>
      <c r="AH330" s="2">
        <v>0</v>
      </c>
      <c r="AI330" s="2">
        <v>0</v>
      </c>
      <c r="AJ330" s="2">
        <v>496.69</v>
      </c>
      <c r="AK330" s="2">
        <v>0</v>
      </c>
      <c r="AL330" s="2">
        <v>0</v>
      </c>
      <c r="AM330" s="2">
        <v>0</v>
      </c>
      <c r="AN330" s="2">
        <v>0</v>
      </c>
      <c r="AO330" s="2">
        <v>0</v>
      </c>
      <c r="AP330" s="2">
        <v>0</v>
      </c>
      <c r="AQ330" s="2">
        <v>0</v>
      </c>
      <c r="AR330" s="2">
        <v>0</v>
      </c>
      <c r="AS330" s="2">
        <v>0</v>
      </c>
      <c r="AT330" s="2">
        <v>0</v>
      </c>
      <c r="AU330" s="2">
        <v>0</v>
      </c>
      <c r="AV330" s="2">
        <v>0</v>
      </c>
      <c r="AW330" s="1">
        <v>326</v>
      </c>
    </row>
    <row r="331" spans="1:49" ht="12.75">
      <c r="A331" s="5">
        <v>4010</v>
      </c>
      <c r="B331" s="2" t="s">
        <v>1230</v>
      </c>
      <c r="C331" s="305">
        <v>2983.2</v>
      </c>
      <c r="D331" s="305">
        <v>0</v>
      </c>
      <c r="E331" s="305">
        <v>-17620.86</v>
      </c>
      <c r="F331" s="305">
        <v>89539.11</v>
      </c>
      <c r="G331" s="305">
        <v>0</v>
      </c>
      <c r="H331" s="305">
        <v>779.16</v>
      </c>
      <c r="I331" s="305">
        <v>0</v>
      </c>
      <c r="J331" s="1" t="s">
        <v>715</v>
      </c>
      <c r="K331" s="3" t="s">
        <v>982</v>
      </c>
      <c r="L331" s="365"/>
      <c r="M331" s="2">
        <v>89539.11</v>
      </c>
      <c r="N331" s="311">
        <v>410</v>
      </c>
      <c r="O331" s="310" t="s">
        <v>1190</v>
      </c>
      <c r="P331" s="309">
        <v>40</v>
      </c>
      <c r="Q331" s="60" t="s">
        <v>456</v>
      </c>
      <c r="R331" s="309">
        <v>5027</v>
      </c>
      <c r="S331" s="60" t="s">
        <v>206</v>
      </c>
      <c r="T331" s="61">
        <v>160</v>
      </c>
      <c r="U331" s="60" t="s">
        <v>716</v>
      </c>
      <c r="V331" s="1">
        <v>3</v>
      </c>
      <c r="W331" s="1" t="s">
        <v>37</v>
      </c>
      <c r="X331" s="1" t="s">
        <v>1231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9941.35</v>
      </c>
      <c r="AI331" s="2">
        <v>8458.67</v>
      </c>
      <c r="AJ331" s="2">
        <v>-17620.86</v>
      </c>
      <c r="AK331" s="2">
        <v>5909.37</v>
      </c>
      <c r="AL331" s="2">
        <v>7673.87</v>
      </c>
      <c r="AM331" s="2">
        <v>7430.5</v>
      </c>
      <c r="AN331" s="2">
        <v>7530.18</v>
      </c>
      <c r="AO331" s="2">
        <v>8662.43</v>
      </c>
      <c r="AP331" s="2">
        <v>7791.25</v>
      </c>
      <c r="AQ331" s="2">
        <v>6201.7</v>
      </c>
      <c r="AR331" s="2">
        <v>6745.49</v>
      </c>
      <c r="AS331" s="2">
        <v>13448.85</v>
      </c>
      <c r="AT331" s="2">
        <v>7525.67</v>
      </c>
      <c r="AU331" s="2">
        <v>7636.6</v>
      </c>
      <c r="AV331" s="2">
        <v>2983.2</v>
      </c>
      <c r="AW331" s="1">
        <v>327</v>
      </c>
    </row>
    <row r="332" spans="1:49" ht="12.75">
      <c r="A332" s="5">
        <v>4010</v>
      </c>
      <c r="B332" s="2" t="s">
        <v>1232</v>
      </c>
      <c r="C332" s="305">
        <v>17203.85</v>
      </c>
      <c r="D332" s="305">
        <v>0</v>
      </c>
      <c r="E332" s="305">
        <v>28293.54</v>
      </c>
      <c r="F332" s="305">
        <v>74048.53</v>
      </c>
      <c r="G332" s="305">
        <v>0</v>
      </c>
      <c r="H332" s="305">
        <v>41922.64</v>
      </c>
      <c r="I332" s="305">
        <v>0</v>
      </c>
      <c r="J332" s="1" t="s">
        <v>718</v>
      </c>
      <c r="K332" s="3" t="s">
        <v>982</v>
      </c>
      <c r="L332" s="365"/>
      <c r="M332" s="2">
        <v>74048.53</v>
      </c>
      <c r="N332" s="311">
        <v>410</v>
      </c>
      <c r="O332" s="310" t="s">
        <v>1190</v>
      </c>
      <c r="P332" s="309">
        <v>40</v>
      </c>
      <c r="Q332" s="60" t="s">
        <v>456</v>
      </c>
      <c r="R332" s="309">
        <v>5027</v>
      </c>
      <c r="S332" s="60" t="s">
        <v>206</v>
      </c>
      <c r="T332" s="61">
        <v>160</v>
      </c>
      <c r="U332" s="60" t="s">
        <v>716</v>
      </c>
      <c r="V332" s="1">
        <v>3</v>
      </c>
      <c r="W332" s="1" t="s">
        <v>37</v>
      </c>
      <c r="X332" s="1" t="s">
        <v>1231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7508.94</v>
      </c>
      <c r="AI332" s="2">
        <v>6120.16</v>
      </c>
      <c r="AJ332" s="2">
        <v>28293.54</v>
      </c>
      <c r="AK332" s="2">
        <v>4972.01</v>
      </c>
      <c r="AL332" s="2">
        <v>5299.86</v>
      </c>
      <c r="AM332" s="2">
        <v>5858.04</v>
      </c>
      <c r="AN332" s="2">
        <v>5099.14</v>
      </c>
      <c r="AO332" s="2">
        <v>6681.04</v>
      </c>
      <c r="AP332" s="2">
        <v>5743.24</v>
      </c>
      <c r="AQ332" s="2">
        <v>4442.73</v>
      </c>
      <c r="AR332" s="2">
        <v>4282.23</v>
      </c>
      <c r="AS332" s="2">
        <v>4392.43</v>
      </c>
      <c r="AT332" s="2">
        <v>5036.94</v>
      </c>
      <c r="AU332" s="2">
        <v>5037.02</v>
      </c>
      <c r="AV332" s="2">
        <v>17203.85</v>
      </c>
      <c r="AW332" s="1">
        <v>328</v>
      </c>
    </row>
    <row r="333" spans="1:49" ht="12.75">
      <c r="A333" s="5">
        <v>4010</v>
      </c>
      <c r="B333" s="2" t="s">
        <v>1233</v>
      </c>
      <c r="C333" s="305">
        <v>5936.78</v>
      </c>
      <c r="D333" s="305">
        <v>0</v>
      </c>
      <c r="E333" s="305">
        <v>-20264.24</v>
      </c>
      <c r="F333" s="305">
        <v>39854.16</v>
      </c>
      <c r="G333" s="305">
        <v>0</v>
      </c>
      <c r="H333" s="305">
        <v>-14503.62</v>
      </c>
      <c r="I333" s="305">
        <v>0</v>
      </c>
      <c r="J333" s="1" t="s">
        <v>720</v>
      </c>
      <c r="K333" s="3" t="s">
        <v>982</v>
      </c>
      <c r="L333" s="365"/>
      <c r="M333" s="2">
        <v>39854.16</v>
      </c>
      <c r="N333" s="311">
        <v>410</v>
      </c>
      <c r="O333" s="310" t="s">
        <v>1190</v>
      </c>
      <c r="P333" s="309">
        <v>40</v>
      </c>
      <c r="Q333" s="60" t="s">
        <v>456</v>
      </c>
      <c r="R333" s="309">
        <v>5027</v>
      </c>
      <c r="S333" s="60" t="s">
        <v>206</v>
      </c>
      <c r="T333" s="61">
        <v>160</v>
      </c>
      <c r="U333" s="60" t="s">
        <v>716</v>
      </c>
      <c r="V333" s="1">
        <v>3</v>
      </c>
      <c r="W333" s="1" t="s">
        <v>37</v>
      </c>
      <c r="X333" s="1" t="s">
        <v>1234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  <c r="AH333" s="2">
        <v>3137.74</v>
      </c>
      <c r="AI333" s="2">
        <v>2622.88</v>
      </c>
      <c r="AJ333" s="2">
        <v>-20264.24</v>
      </c>
      <c r="AK333" s="2">
        <v>2908.91</v>
      </c>
      <c r="AL333" s="2">
        <v>2363.31</v>
      </c>
      <c r="AM333" s="2">
        <v>2210.14</v>
      </c>
      <c r="AN333" s="2">
        <v>4294.9</v>
      </c>
      <c r="AO333" s="2">
        <v>4105.89</v>
      </c>
      <c r="AP333" s="2">
        <v>4591.47</v>
      </c>
      <c r="AQ333" s="2">
        <v>3199.87</v>
      </c>
      <c r="AR333" s="2">
        <v>3079.54</v>
      </c>
      <c r="AS333" s="2">
        <v>2463.18</v>
      </c>
      <c r="AT333" s="2">
        <v>2741.89</v>
      </c>
      <c r="AU333" s="2">
        <v>1958.28</v>
      </c>
      <c r="AV333" s="2">
        <v>5936.78</v>
      </c>
      <c r="AW333" s="1">
        <v>329</v>
      </c>
    </row>
    <row r="334" spans="1:49" ht="12.75">
      <c r="A334" s="5">
        <v>4010</v>
      </c>
      <c r="B334" s="2" t="s">
        <v>1235</v>
      </c>
      <c r="C334" s="305">
        <v>-991.82</v>
      </c>
      <c r="D334" s="305">
        <v>0</v>
      </c>
      <c r="E334" s="305">
        <v>-52796.6</v>
      </c>
      <c r="F334" s="305">
        <v>100402.55</v>
      </c>
      <c r="G334" s="305">
        <v>0</v>
      </c>
      <c r="H334" s="305">
        <v>-23385.67</v>
      </c>
      <c r="I334" s="305">
        <v>0</v>
      </c>
      <c r="J334" s="1" t="s">
        <v>722</v>
      </c>
      <c r="K334" s="3" t="s">
        <v>982</v>
      </c>
      <c r="L334" s="365"/>
      <c r="M334" s="2">
        <v>100402.55</v>
      </c>
      <c r="N334" s="311">
        <v>410</v>
      </c>
      <c r="O334" s="310" t="s">
        <v>1190</v>
      </c>
      <c r="P334" s="309">
        <v>40</v>
      </c>
      <c r="Q334" s="60" t="s">
        <v>456</v>
      </c>
      <c r="R334" s="309">
        <v>5027</v>
      </c>
      <c r="S334" s="60" t="s">
        <v>206</v>
      </c>
      <c r="T334" s="61">
        <v>160</v>
      </c>
      <c r="U334" s="60" t="s">
        <v>716</v>
      </c>
      <c r="V334" s="1">
        <v>3</v>
      </c>
      <c r="W334" s="1" t="s">
        <v>37</v>
      </c>
      <c r="X334" s="1" t="s">
        <v>1231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0</v>
      </c>
      <c r="AH334" s="2">
        <v>18162.19</v>
      </c>
      <c r="AI334" s="2">
        <v>11248.74</v>
      </c>
      <c r="AJ334" s="2">
        <v>-52796.6</v>
      </c>
      <c r="AK334" s="2">
        <v>11576.92</v>
      </c>
      <c r="AL334" s="2">
        <v>8640.69</v>
      </c>
      <c r="AM334" s="2">
        <v>10646.04</v>
      </c>
      <c r="AN334" s="2">
        <v>13974.84</v>
      </c>
      <c r="AO334" s="2">
        <v>7304.58</v>
      </c>
      <c r="AP334" s="2">
        <v>9852.68</v>
      </c>
      <c r="AQ334" s="2">
        <v>9216.9</v>
      </c>
      <c r="AR334" s="2">
        <v>7384.67</v>
      </c>
      <c r="AS334" s="2">
        <v>6875.11</v>
      </c>
      <c r="AT334" s="2">
        <v>9014.78</v>
      </c>
      <c r="AU334" s="2">
        <v>6907.16</v>
      </c>
      <c r="AV334" s="2">
        <v>-991.82</v>
      </c>
      <c r="AW334" s="1">
        <v>330</v>
      </c>
    </row>
    <row r="335" spans="1:49" ht="12.75">
      <c r="A335" s="5">
        <v>4010</v>
      </c>
      <c r="B335" s="2" t="s">
        <v>1236</v>
      </c>
      <c r="C335" s="305">
        <v>12359.5</v>
      </c>
      <c r="D335" s="305">
        <v>0</v>
      </c>
      <c r="E335" s="305">
        <v>-7078.84</v>
      </c>
      <c r="F335" s="305">
        <v>198552.98</v>
      </c>
      <c r="G335" s="305">
        <v>0</v>
      </c>
      <c r="H335" s="305">
        <v>1096.33</v>
      </c>
      <c r="I335" s="305">
        <v>0</v>
      </c>
      <c r="J335" s="1" t="s">
        <v>724</v>
      </c>
      <c r="K335" s="3" t="s">
        <v>982</v>
      </c>
      <c r="L335" s="365"/>
      <c r="M335" s="2">
        <v>198552.98</v>
      </c>
      <c r="N335" s="311">
        <v>410</v>
      </c>
      <c r="O335" s="310" t="s">
        <v>1190</v>
      </c>
      <c r="P335" s="309">
        <v>40</v>
      </c>
      <c r="Q335" s="60" t="s">
        <v>456</v>
      </c>
      <c r="R335" s="309">
        <v>5027</v>
      </c>
      <c r="S335" s="60" t="s">
        <v>206</v>
      </c>
      <c r="T335" s="61">
        <v>160</v>
      </c>
      <c r="U335" s="60" t="s">
        <v>716</v>
      </c>
      <c r="V335" s="1">
        <v>3</v>
      </c>
      <c r="W335" s="1" t="s">
        <v>37</v>
      </c>
      <c r="X335" s="1" t="s">
        <v>1237</v>
      </c>
      <c r="Y335" s="2">
        <v>0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0</v>
      </c>
      <c r="AF335" s="2">
        <v>0</v>
      </c>
      <c r="AG335" s="2">
        <v>0</v>
      </c>
      <c r="AH335" s="2">
        <v>5204.12</v>
      </c>
      <c r="AI335" s="2">
        <v>2971.05</v>
      </c>
      <c r="AJ335" s="2">
        <v>-7078.84</v>
      </c>
      <c r="AK335" s="2">
        <v>3516.06</v>
      </c>
      <c r="AL335" s="2">
        <v>2836.43</v>
      </c>
      <c r="AM335" s="2">
        <v>6471.18</v>
      </c>
      <c r="AN335" s="2">
        <v>22992.76</v>
      </c>
      <c r="AO335" s="2">
        <v>31982.67</v>
      </c>
      <c r="AP335" s="2">
        <v>36849.88</v>
      </c>
      <c r="AQ335" s="2">
        <v>27287.07</v>
      </c>
      <c r="AR335" s="2">
        <v>27480.1</v>
      </c>
      <c r="AS335" s="2">
        <v>18716.28</v>
      </c>
      <c r="AT335" s="2">
        <v>5333.13</v>
      </c>
      <c r="AU335" s="2">
        <v>2727.92</v>
      </c>
      <c r="AV335" s="2">
        <v>12359.5</v>
      </c>
      <c r="AW335" s="1">
        <v>331</v>
      </c>
    </row>
    <row r="336" spans="1:49" ht="12.75">
      <c r="A336" s="5">
        <v>4010</v>
      </c>
      <c r="B336" s="2" t="s">
        <v>1238</v>
      </c>
      <c r="C336" s="305">
        <v>0</v>
      </c>
      <c r="D336" s="305">
        <v>0</v>
      </c>
      <c r="E336" s="305">
        <v>-793.21</v>
      </c>
      <c r="F336" s="305">
        <v>518.48</v>
      </c>
      <c r="G336" s="305">
        <v>0</v>
      </c>
      <c r="H336" s="305">
        <v>0</v>
      </c>
      <c r="I336" s="305">
        <v>0</v>
      </c>
      <c r="J336" s="1" t="s">
        <v>726</v>
      </c>
      <c r="K336" s="3" t="s">
        <v>982</v>
      </c>
      <c r="L336" s="365"/>
      <c r="M336" s="2">
        <v>518.48</v>
      </c>
      <c r="N336" s="311">
        <v>410</v>
      </c>
      <c r="O336" s="310" t="s">
        <v>1190</v>
      </c>
      <c r="P336" s="309">
        <v>40</v>
      </c>
      <c r="Q336" s="60" t="s">
        <v>456</v>
      </c>
      <c r="R336" s="309">
        <v>5027</v>
      </c>
      <c r="S336" s="60" t="s">
        <v>206</v>
      </c>
      <c r="T336" s="61">
        <v>160</v>
      </c>
      <c r="U336" s="60" t="s">
        <v>716</v>
      </c>
      <c r="V336" s="1">
        <v>3</v>
      </c>
      <c r="W336" s="1" t="s">
        <v>37</v>
      </c>
      <c r="X336" s="1" t="s">
        <v>1231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0</v>
      </c>
      <c r="AH336" s="2">
        <v>188.33</v>
      </c>
      <c r="AI336" s="2">
        <v>604.88</v>
      </c>
      <c r="AJ336" s="2">
        <v>-793.21</v>
      </c>
      <c r="AK336" s="2">
        <v>267.48</v>
      </c>
      <c r="AL336" s="2">
        <v>120.48</v>
      </c>
      <c r="AM336" s="2">
        <v>120.48</v>
      </c>
      <c r="AN336" s="2">
        <v>10.04</v>
      </c>
      <c r="AO336" s="2">
        <v>0</v>
      </c>
      <c r="AP336" s="2">
        <v>0</v>
      </c>
      <c r="AQ336" s="2">
        <v>0</v>
      </c>
      <c r="AR336" s="2">
        <v>0</v>
      </c>
      <c r="AS336" s="2">
        <v>0</v>
      </c>
      <c r="AT336" s="2">
        <v>0</v>
      </c>
      <c r="AU336" s="2">
        <v>0</v>
      </c>
      <c r="AV336" s="2">
        <v>0</v>
      </c>
      <c r="AW336" s="1">
        <v>332</v>
      </c>
    </row>
    <row r="337" spans="1:49" ht="12.75">
      <c r="A337" s="5">
        <v>4010</v>
      </c>
      <c r="B337" s="2" t="s">
        <v>1239</v>
      </c>
      <c r="C337" s="305">
        <v>44083.28</v>
      </c>
      <c r="D337" s="305">
        <v>0</v>
      </c>
      <c r="E337" s="305">
        <v>-5043.63</v>
      </c>
      <c r="F337" s="305">
        <v>101826.04</v>
      </c>
      <c r="G337" s="305">
        <v>0</v>
      </c>
      <c r="H337" s="305">
        <v>4983.01</v>
      </c>
      <c r="I337" s="305">
        <v>0</v>
      </c>
      <c r="J337" s="1" t="s">
        <v>728</v>
      </c>
      <c r="K337" s="3" t="s">
        <v>982</v>
      </c>
      <c r="L337" s="365"/>
      <c r="M337" s="2">
        <v>101826.04</v>
      </c>
      <c r="N337" s="311">
        <v>410</v>
      </c>
      <c r="O337" s="310" t="s">
        <v>1190</v>
      </c>
      <c r="P337" s="309">
        <v>40</v>
      </c>
      <c r="Q337" s="60" t="s">
        <v>456</v>
      </c>
      <c r="R337" s="309">
        <v>5029</v>
      </c>
      <c r="S337" s="60" t="s">
        <v>208</v>
      </c>
      <c r="T337" s="61">
        <v>170</v>
      </c>
      <c r="U337" s="60" t="s">
        <v>501</v>
      </c>
      <c r="V337" s="1">
        <v>3</v>
      </c>
      <c r="W337" s="1" t="s">
        <v>37</v>
      </c>
      <c r="X337" s="1" t="s">
        <v>1240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0</v>
      </c>
      <c r="AH337" s="2">
        <v>5125.32</v>
      </c>
      <c r="AI337" s="2">
        <v>4901.32</v>
      </c>
      <c r="AJ337" s="2">
        <v>-5043.63</v>
      </c>
      <c r="AK337" s="2">
        <v>5352.28</v>
      </c>
      <c r="AL337" s="2">
        <v>5420.29</v>
      </c>
      <c r="AM337" s="2">
        <v>4189.39</v>
      </c>
      <c r="AN337" s="2">
        <v>8324.19</v>
      </c>
      <c r="AO337" s="2">
        <v>6516.44</v>
      </c>
      <c r="AP337" s="2">
        <v>6960.32</v>
      </c>
      <c r="AQ337" s="2">
        <v>5131.43</v>
      </c>
      <c r="AR337" s="2">
        <v>4025.96</v>
      </c>
      <c r="AS337" s="2">
        <v>3944.36</v>
      </c>
      <c r="AT337" s="2">
        <v>4395.16</v>
      </c>
      <c r="AU337" s="2">
        <v>3482.94</v>
      </c>
      <c r="AV337" s="2">
        <v>44083.28</v>
      </c>
      <c r="AW337" s="1">
        <v>333</v>
      </c>
    </row>
    <row r="338" spans="1:49" ht="12.75">
      <c r="A338" s="5">
        <v>4010</v>
      </c>
      <c r="B338" s="2" t="s">
        <v>1241</v>
      </c>
      <c r="C338" s="305">
        <v>4919.51</v>
      </c>
      <c r="D338" s="305">
        <v>0</v>
      </c>
      <c r="E338" s="305">
        <v>-10574.62</v>
      </c>
      <c r="F338" s="305">
        <v>34392.8</v>
      </c>
      <c r="G338" s="305">
        <v>0</v>
      </c>
      <c r="H338" s="305">
        <v>-4134.56</v>
      </c>
      <c r="I338" s="305">
        <v>0</v>
      </c>
      <c r="J338" s="1" t="s">
        <v>730</v>
      </c>
      <c r="K338" s="3" t="s">
        <v>982</v>
      </c>
      <c r="L338" s="365"/>
      <c r="M338" s="2">
        <v>34392.8</v>
      </c>
      <c r="N338" s="311">
        <v>410</v>
      </c>
      <c r="O338" s="310" t="s">
        <v>1190</v>
      </c>
      <c r="P338" s="309">
        <v>40</v>
      </c>
      <c r="Q338" s="60" t="s">
        <v>456</v>
      </c>
      <c r="R338" s="309">
        <v>5028</v>
      </c>
      <c r="S338" s="60" t="s">
        <v>207</v>
      </c>
      <c r="T338" s="61">
        <v>170</v>
      </c>
      <c r="U338" s="60" t="s">
        <v>501</v>
      </c>
      <c r="V338" s="1">
        <v>3</v>
      </c>
      <c r="W338" s="1" t="s">
        <v>37</v>
      </c>
      <c r="X338" s="1" t="s">
        <v>1242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  <c r="AG338" s="2">
        <v>0</v>
      </c>
      <c r="AH338" s="2">
        <v>3152.07</v>
      </c>
      <c r="AI338" s="2">
        <v>3287.99</v>
      </c>
      <c r="AJ338" s="2">
        <v>-10574.62</v>
      </c>
      <c r="AK338" s="2">
        <v>1970.32</v>
      </c>
      <c r="AL338" s="2">
        <v>8441.99</v>
      </c>
      <c r="AM338" s="2">
        <v>2590.72</v>
      </c>
      <c r="AN338" s="2">
        <v>5042.89</v>
      </c>
      <c r="AO338" s="2">
        <v>5018.39</v>
      </c>
      <c r="AP338" s="2">
        <v>1531.05</v>
      </c>
      <c r="AQ338" s="2">
        <v>1267.42</v>
      </c>
      <c r="AR338" s="2">
        <v>672.47</v>
      </c>
      <c r="AS338" s="2">
        <v>602.82</v>
      </c>
      <c r="AT338" s="2">
        <v>637.52</v>
      </c>
      <c r="AU338" s="2">
        <v>1697.7</v>
      </c>
      <c r="AV338" s="2">
        <v>4919.51</v>
      </c>
      <c r="AW338" s="1">
        <v>334</v>
      </c>
    </row>
    <row r="339" spans="1:49" ht="12.75">
      <c r="A339" s="5">
        <v>4010</v>
      </c>
      <c r="B339" s="2" t="s">
        <v>1243</v>
      </c>
      <c r="C339" s="305">
        <v>-732.89</v>
      </c>
      <c r="D339" s="305">
        <v>0</v>
      </c>
      <c r="E339" s="305">
        <v>-6624.67</v>
      </c>
      <c r="F339" s="305">
        <v>37729.91</v>
      </c>
      <c r="G339" s="305">
        <v>0</v>
      </c>
      <c r="H339" s="305">
        <v>-387.72</v>
      </c>
      <c r="I339" s="305">
        <v>0</v>
      </c>
      <c r="J339" s="1" t="s">
        <v>732</v>
      </c>
      <c r="K339" s="3" t="s">
        <v>982</v>
      </c>
      <c r="L339" s="365"/>
      <c r="M339" s="2">
        <v>37729.91</v>
      </c>
      <c r="N339" s="311">
        <v>410</v>
      </c>
      <c r="O339" s="310" t="s">
        <v>1190</v>
      </c>
      <c r="P339" s="309">
        <v>40</v>
      </c>
      <c r="Q339" s="60" t="s">
        <v>456</v>
      </c>
      <c r="R339" s="309">
        <v>5028</v>
      </c>
      <c r="S339" s="60" t="s">
        <v>207</v>
      </c>
      <c r="T339" s="61">
        <v>170</v>
      </c>
      <c r="U339" s="60" t="s">
        <v>501</v>
      </c>
      <c r="V339" s="1">
        <v>3</v>
      </c>
      <c r="W339" s="1" t="s">
        <v>37</v>
      </c>
      <c r="X339" s="1" t="s">
        <v>1244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0</v>
      </c>
      <c r="AH339" s="2">
        <v>2787.22</v>
      </c>
      <c r="AI339" s="2">
        <v>3449.73</v>
      </c>
      <c r="AJ339" s="2">
        <v>-6624.67</v>
      </c>
      <c r="AK339" s="2">
        <v>6605.82</v>
      </c>
      <c r="AL339" s="2">
        <v>5568.21</v>
      </c>
      <c r="AM339" s="2">
        <v>4560.58</v>
      </c>
      <c r="AN339" s="2">
        <v>3681.3</v>
      </c>
      <c r="AO339" s="2">
        <v>3522.37</v>
      </c>
      <c r="AP339" s="2">
        <v>2464.86</v>
      </c>
      <c r="AQ339" s="2">
        <v>2273.9</v>
      </c>
      <c r="AR339" s="2">
        <v>2146.47</v>
      </c>
      <c r="AS339" s="2">
        <v>2675.36</v>
      </c>
      <c r="AT339" s="2">
        <v>2382.9</v>
      </c>
      <c r="AU339" s="2">
        <v>2581.03</v>
      </c>
      <c r="AV339" s="2">
        <v>-732.89</v>
      </c>
      <c r="AW339" s="1">
        <v>335</v>
      </c>
    </row>
    <row r="340" spans="1:49" ht="12.75">
      <c r="A340" s="5">
        <v>4010</v>
      </c>
      <c r="B340" s="2" t="s">
        <v>1245</v>
      </c>
      <c r="C340" s="305">
        <v>-21532.02</v>
      </c>
      <c r="D340" s="305">
        <v>0</v>
      </c>
      <c r="E340" s="305">
        <v>-2212</v>
      </c>
      <c r="F340" s="305">
        <v>0</v>
      </c>
      <c r="G340" s="305">
        <v>0</v>
      </c>
      <c r="H340" s="305">
        <v>0</v>
      </c>
      <c r="I340" s="305">
        <v>0</v>
      </c>
      <c r="J340" s="1" t="s">
        <v>734</v>
      </c>
      <c r="K340" s="3" t="s">
        <v>982</v>
      </c>
      <c r="L340" s="365"/>
      <c r="M340" s="2">
        <v>0</v>
      </c>
      <c r="N340" s="311">
        <v>410</v>
      </c>
      <c r="O340" s="310" t="s">
        <v>1190</v>
      </c>
      <c r="P340" s="309">
        <v>40</v>
      </c>
      <c r="Q340" s="60" t="s">
        <v>456</v>
      </c>
      <c r="R340" s="309">
        <v>5020</v>
      </c>
      <c r="S340" s="60" t="s">
        <v>205</v>
      </c>
      <c r="T340" s="61">
        <v>170</v>
      </c>
      <c r="U340" s="60" t="s">
        <v>501</v>
      </c>
      <c r="V340" s="1">
        <v>3</v>
      </c>
      <c r="W340" s="1" t="s">
        <v>37</v>
      </c>
      <c r="X340" s="1" t="s">
        <v>1246</v>
      </c>
      <c r="Y340" s="2">
        <v>0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2">
        <v>0</v>
      </c>
      <c r="AF340" s="2">
        <v>0</v>
      </c>
      <c r="AG340" s="2">
        <v>0</v>
      </c>
      <c r="AH340" s="2">
        <v>2212</v>
      </c>
      <c r="AI340" s="2">
        <v>0</v>
      </c>
      <c r="AJ340" s="2">
        <v>-2212</v>
      </c>
      <c r="AK340" s="2">
        <v>1372</v>
      </c>
      <c r="AL340" s="2">
        <v>560</v>
      </c>
      <c r="AM340" s="2">
        <v>2436</v>
      </c>
      <c r="AN340" s="2">
        <v>2435.99</v>
      </c>
      <c r="AO340" s="2">
        <v>1624.02</v>
      </c>
      <c r="AP340" s="2">
        <v>3080</v>
      </c>
      <c r="AQ340" s="2">
        <v>2324</v>
      </c>
      <c r="AR340" s="2">
        <v>2408</v>
      </c>
      <c r="AS340" s="2">
        <v>1792.01</v>
      </c>
      <c r="AT340" s="2">
        <v>1316</v>
      </c>
      <c r="AU340" s="2">
        <v>2184</v>
      </c>
      <c r="AV340" s="2">
        <v>-21532.02</v>
      </c>
      <c r="AW340" s="1">
        <v>336</v>
      </c>
    </row>
    <row r="341" spans="1:49" ht="12.75">
      <c r="A341" s="5">
        <v>4010</v>
      </c>
      <c r="B341" s="2" t="s">
        <v>1247</v>
      </c>
      <c r="C341" s="305">
        <v>-80197</v>
      </c>
      <c r="D341" s="305">
        <v>0</v>
      </c>
      <c r="E341" s="305">
        <v>-22207.3</v>
      </c>
      <c r="F341" s="305">
        <v>6741</v>
      </c>
      <c r="G341" s="305">
        <v>0</v>
      </c>
      <c r="H341" s="305">
        <v>-7404.5</v>
      </c>
      <c r="I341" s="305">
        <v>0</v>
      </c>
      <c r="J341" s="1" t="s">
        <v>1024</v>
      </c>
      <c r="K341" s="3" t="s">
        <v>982</v>
      </c>
      <c r="L341" s="365"/>
      <c r="M341" s="2">
        <v>6741</v>
      </c>
      <c r="N341" s="311">
        <v>410</v>
      </c>
      <c r="O341" s="310" t="s">
        <v>1190</v>
      </c>
      <c r="P341" s="309">
        <v>40</v>
      </c>
      <c r="Q341" s="60" t="s">
        <v>456</v>
      </c>
      <c r="R341" s="309">
        <v>5020</v>
      </c>
      <c r="S341" s="60" t="s">
        <v>205</v>
      </c>
      <c r="T341" s="61">
        <v>170</v>
      </c>
      <c r="U341" s="60" t="s">
        <v>501</v>
      </c>
      <c r="V341" s="1">
        <v>3</v>
      </c>
      <c r="W341" s="1" t="s">
        <v>37</v>
      </c>
      <c r="X341" s="1" t="s">
        <v>1246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0</v>
      </c>
      <c r="AG341" s="2">
        <v>0</v>
      </c>
      <c r="AH341" s="2">
        <v>5485.2</v>
      </c>
      <c r="AI341" s="2">
        <v>9317.6</v>
      </c>
      <c r="AJ341" s="2">
        <v>-22207.3</v>
      </c>
      <c r="AK341" s="2">
        <v>7324.8</v>
      </c>
      <c r="AL341" s="2">
        <v>2304.4</v>
      </c>
      <c r="AM341" s="2">
        <v>3787.8</v>
      </c>
      <c r="AN341" s="2">
        <v>2511</v>
      </c>
      <c r="AO341" s="2">
        <v>7965</v>
      </c>
      <c r="AP341" s="2">
        <v>8320.5</v>
      </c>
      <c r="AQ341" s="2">
        <v>6813</v>
      </c>
      <c r="AR341" s="2">
        <v>9090</v>
      </c>
      <c r="AS341" s="2">
        <v>10719</v>
      </c>
      <c r="AT341" s="2">
        <v>14895</v>
      </c>
      <c r="AU341" s="2">
        <v>13207.5</v>
      </c>
      <c r="AV341" s="2">
        <v>-80197</v>
      </c>
      <c r="AW341" s="1">
        <v>337</v>
      </c>
    </row>
    <row r="342" spans="1:49" ht="12.75">
      <c r="A342" s="5">
        <v>4010</v>
      </c>
      <c r="B342" s="2" t="s">
        <v>1248</v>
      </c>
      <c r="C342" s="305">
        <v>61846.78</v>
      </c>
      <c r="D342" s="305">
        <v>0</v>
      </c>
      <c r="E342" s="305">
        <v>-39351.65</v>
      </c>
      <c r="F342" s="305">
        <v>516656.15</v>
      </c>
      <c r="G342" s="305">
        <v>0</v>
      </c>
      <c r="H342" s="305">
        <v>45951.57</v>
      </c>
      <c r="I342" s="305">
        <v>0</v>
      </c>
      <c r="J342" s="1" t="s">
        <v>736</v>
      </c>
      <c r="K342" s="3" t="s">
        <v>982</v>
      </c>
      <c r="L342" s="365"/>
      <c r="M342" s="2">
        <v>516656.15</v>
      </c>
      <c r="N342" s="311">
        <v>410</v>
      </c>
      <c r="O342" s="310" t="s">
        <v>1190</v>
      </c>
      <c r="P342" s="309">
        <v>40</v>
      </c>
      <c r="Q342" s="60" t="s">
        <v>456</v>
      </c>
      <c r="R342" s="309">
        <v>5022</v>
      </c>
      <c r="S342" s="60" t="s">
        <v>202</v>
      </c>
      <c r="T342" s="61">
        <v>180</v>
      </c>
      <c r="U342" s="60" t="s">
        <v>385</v>
      </c>
      <c r="V342" s="1">
        <v>3</v>
      </c>
      <c r="W342" s="1" t="s">
        <v>37</v>
      </c>
      <c r="X342" s="1" t="s">
        <v>1249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F342" s="2">
        <v>0</v>
      </c>
      <c r="AG342" s="2">
        <v>0</v>
      </c>
      <c r="AH342" s="2">
        <v>47902.7</v>
      </c>
      <c r="AI342" s="2">
        <v>37400.52</v>
      </c>
      <c r="AJ342" s="2">
        <v>-39351.65</v>
      </c>
      <c r="AK342" s="2">
        <v>44401.42</v>
      </c>
      <c r="AL342" s="2">
        <v>37817.82</v>
      </c>
      <c r="AM342" s="2">
        <v>38916.76</v>
      </c>
      <c r="AN342" s="2">
        <v>45846.38</v>
      </c>
      <c r="AO342" s="2">
        <v>54674.77</v>
      </c>
      <c r="AP342" s="2">
        <v>50938.65</v>
      </c>
      <c r="AQ342" s="2">
        <v>39164.83</v>
      </c>
      <c r="AR342" s="2">
        <v>35383.79</v>
      </c>
      <c r="AS342" s="2">
        <v>32499.42</v>
      </c>
      <c r="AT342" s="2">
        <v>38693.11</v>
      </c>
      <c r="AU342" s="2">
        <v>36472.42</v>
      </c>
      <c r="AV342" s="2">
        <v>61846.78</v>
      </c>
      <c r="AW342" s="1">
        <v>338</v>
      </c>
    </row>
    <row r="343" spans="1:49" ht="12.75">
      <c r="A343" s="5">
        <v>4010</v>
      </c>
      <c r="B343" s="2" t="s">
        <v>1250</v>
      </c>
      <c r="C343" s="305">
        <v>38988.19</v>
      </c>
      <c r="D343" s="305">
        <v>0</v>
      </c>
      <c r="E343" s="305">
        <v>-37447.08</v>
      </c>
      <c r="F343" s="305">
        <v>394235.31</v>
      </c>
      <c r="G343" s="305">
        <v>0</v>
      </c>
      <c r="H343" s="305">
        <v>34484.63</v>
      </c>
      <c r="I343" s="305">
        <v>0</v>
      </c>
      <c r="J343" s="1" t="s">
        <v>738</v>
      </c>
      <c r="K343" s="3" t="s">
        <v>982</v>
      </c>
      <c r="L343" s="365"/>
      <c r="M343" s="2">
        <v>394235.31</v>
      </c>
      <c r="N343" s="311">
        <v>410</v>
      </c>
      <c r="O343" s="310" t="s">
        <v>1190</v>
      </c>
      <c r="P343" s="309">
        <v>40</v>
      </c>
      <c r="Q343" s="60" t="s">
        <v>456</v>
      </c>
      <c r="R343" s="309">
        <v>5022</v>
      </c>
      <c r="S343" s="60" t="s">
        <v>202</v>
      </c>
      <c r="T343" s="61">
        <v>180</v>
      </c>
      <c r="U343" s="60" t="s">
        <v>385</v>
      </c>
      <c r="V343" s="1">
        <v>3</v>
      </c>
      <c r="W343" s="1" t="s">
        <v>37</v>
      </c>
      <c r="X343" s="1" t="s">
        <v>1251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  <c r="AH343" s="2">
        <v>36216.31</v>
      </c>
      <c r="AI343" s="2">
        <v>35715.4</v>
      </c>
      <c r="AJ343" s="2">
        <v>-37447.08</v>
      </c>
      <c r="AK343" s="2">
        <v>40018.51</v>
      </c>
      <c r="AL343" s="2">
        <v>31460.11</v>
      </c>
      <c r="AM343" s="2">
        <v>30988.72</v>
      </c>
      <c r="AN343" s="2">
        <v>37973.8</v>
      </c>
      <c r="AO343" s="2">
        <v>41705.45</v>
      </c>
      <c r="AP343" s="2">
        <v>34428.3</v>
      </c>
      <c r="AQ343" s="2">
        <v>24035.13</v>
      </c>
      <c r="AR343" s="2">
        <v>25677.11</v>
      </c>
      <c r="AS343" s="2">
        <v>28021.86</v>
      </c>
      <c r="AT343" s="2">
        <v>27676.5</v>
      </c>
      <c r="AU343" s="2">
        <v>33261.63</v>
      </c>
      <c r="AV343" s="2">
        <v>38988.19</v>
      </c>
      <c r="AW343" s="1">
        <v>339</v>
      </c>
    </row>
    <row r="344" spans="1:49" ht="12.75">
      <c r="A344" s="5">
        <v>4010</v>
      </c>
      <c r="B344" s="2" t="s">
        <v>1252</v>
      </c>
      <c r="C344" s="305">
        <v>2030.02</v>
      </c>
      <c r="D344" s="305">
        <v>0</v>
      </c>
      <c r="E344" s="305">
        <v>-16355.4</v>
      </c>
      <c r="F344" s="305">
        <v>174988.74</v>
      </c>
      <c r="G344" s="305">
        <v>0</v>
      </c>
      <c r="H344" s="305">
        <v>15678.97</v>
      </c>
      <c r="I344" s="305">
        <v>0</v>
      </c>
      <c r="J344" s="1" t="s">
        <v>740</v>
      </c>
      <c r="K344" s="3" t="s">
        <v>982</v>
      </c>
      <c r="L344" s="365"/>
      <c r="M344" s="2">
        <v>174988.74</v>
      </c>
      <c r="N344" s="311">
        <v>410</v>
      </c>
      <c r="O344" s="310" t="s">
        <v>1190</v>
      </c>
      <c r="P344" s="309">
        <v>40</v>
      </c>
      <c r="Q344" s="60" t="s">
        <v>456</v>
      </c>
      <c r="R344" s="309">
        <v>5022</v>
      </c>
      <c r="S344" s="60" t="s">
        <v>202</v>
      </c>
      <c r="T344" s="61">
        <v>180</v>
      </c>
      <c r="U344" s="60" t="s">
        <v>385</v>
      </c>
      <c r="V344" s="1">
        <v>3</v>
      </c>
      <c r="W344" s="1" t="s">
        <v>37</v>
      </c>
      <c r="X344" s="1" t="s">
        <v>1253</v>
      </c>
      <c r="Y344" s="2">
        <v>0</v>
      </c>
      <c r="Z344" s="2">
        <v>0</v>
      </c>
      <c r="AA344" s="2">
        <v>0</v>
      </c>
      <c r="AB344" s="2">
        <v>0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  <c r="AH344" s="2">
        <v>15908.5</v>
      </c>
      <c r="AI344" s="2">
        <v>16125.87</v>
      </c>
      <c r="AJ344" s="2">
        <v>-16355.4</v>
      </c>
      <c r="AK344" s="2">
        <v>16391.85</v>
      </c>
      <c r="AL344" s="2">
        <v>16380.07</v>
      </c>
      <c r="AM344" s="2">
        <v>15478.74</v>
      </c>
      <c r="AN344" s="2">
        <v>21677.27</v>
      </c>
      <c r="AO344" s="2">
        <v>20082.59</v>
      </c>
      <c r="AP344" s="2">
        <v>19690.77</v>
      </c>
      <c r="AQ344" s="2">
        <v>11441.55</v>
      </c>
      <c r="AR344" s="2">
        <v>12733.99</v>
      </c>
      <c r="AS344" s="2">
        <v>11048.51</v>
      </c>
      <c r="AT344" s="2">
        <v>14405.58</v>
      </c>
      <c r="AU344" s="2">
        <v>13627.8</v>
      </c>
      <c r="AV344" s="2">
        <v>2030.02</v>
      </c>
      <c r="AW344" s="1">
        <v>340</v>
      </c>
    </row>
    <row r="345" spans="1:49" ht="12.75">
      <c r="A345" s="5">
        <v>4010</v>
      </c>
      <c r="B345" s="2" t="s">
        <v>1254</v>
      </c>
      <c r="C345" s="305">
        <v>15958.86</v>
      </c>
      <c r="D345" s="305">
        <v>0</v>
      </c>
      <c r="E345" s="305">
        <v>8697.71</v>
      </c>
      <c r="F345" s="305">
        <v>110109.33</v>
      </c>
      <c r="G345" s="305">
        <v>0</v>
      </c>
      <c r="H345" s="305">
        <v>26291.45</v>
      </c>
      <c r="I345" s="305">
        <v>0</v>
      </c>
      <c r="J345" s="1" t="s">
        <v>742</v>
      </c>
      <c r="K345" s="3" t="s">
        <v>982</v>
      </c>
      <c r="L345" s="365"/>
      <c r="M345" s="2">
        <v>110109.33</v>
      </c>
      <c r="N345" s="311">
        <v>410</v>
      </c>
      <c r="O345" s="310" t="s">
        <v>1190</v>
      </c>
      <c r="P345" s="309">
        <v>40</v>
      </c>
      <c r="Q345" s="60" t="s">
        <v>456</v>
      </c>
      <c r="R345" s="309">
        <v>5024</v>
      </c>
      <c r="S345" s="60" t="s">
        <v>155</v>
      </c>
      <c r="T345" s="61">
        <v>190</v>
      </c>
      <c r="U345" s="60" t="s">
        <v>503</v>
      </c>
      <c r="V345" s="1">
        <v>3</v>
      </c>
      <c r="W345" s="1" t="s">
        <v>37</v>
      </c>
      <c r="X345" s="1" t="s">
        <v>1255</v>
      </c>
      <c r="Y345" s="2">
        <v>0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  <c r="AH345" s="2">
        <v>9653.12</v>
      </c>
      <c r="AI345" s="2">
        <v>7940.62</v>
      </c>
      <c r="AJ345" s="2">
        <v>8697.71</v>
      </c>
      <c r="AK345" s="2">
        <v>8898.37</v>
      </c>
      <c r="AL345" s="2">
        <v>6632.74</v>
      </c>
      <c r="AM345" s="2">
        <v>9209.31</v>
      </c>
      <c r="AN345" s="2">
        <v>7258.2</v>
      </c>
      <c r="AO345" s="2">
        <v>8596.2</v>
      </c>
      <c r="AP345" s="2">
        <v>7908.2</v>
      </c>
      <c r="AQ345" s="2">
        <v>8807.95</v>
      </c>
      <c r="AR345" s="2">
        <v>8874.42</v>
      </c>
      <c r="AS345" s="2">
        <v>10470.13</v>
      </c>
      <c r="AT345" s="2">
        <v>9343.22</v>
      </c>
      <c r="AU345" s="2">
        <v>8151.73</v>
      </c>
      <c r="AV345" s="2">
        <v>15958.86</v>
      </c>
      <c r="AW345" s="1">
        <v>341</v>
      </c>
    </row>
    <row r="346" spans="1:49" ht="12.75">
      <c r="A346" s="5">
        <v>4010</v>
      </c>
      <c r="B346" s="2" t="s">
        <v>1256</v>
      </c>
      <c r="C346" s="305">
        <v>29561.21</v>
      </c>
      <c r="D346" s="305">
        <v>0</v>
      </c>
      <c r="E346" s="305">
        <v>-1139.38</v>
      </c>
      <c r="F346" s="305">
        <v>39510.58</v>
      </c>
      <c r="G346" s="305">
        <v>0</v>
      </c>
      <c r="H346" s="305">
        <v>-1138.3</v>
      </c>
      <c r="I346" s="305">
        <v>0</v>
      </c>
      <c r="J346" s="1" t="s">
        <v>744</v>
      </c>
      <c r="K346" s="3" t="s">
        <v>982</v>
      </c>
      <c r="L346" s="365"/>
      <c r="M346" s="2">
        <v>39510.58</v>
      </c>
      <c r="N346" s="311">
        <v>410</v>
      </c>
      <c r="O346" s="310" t="s">
        <v>1190</v>
      </c>
      <c r="P346" s="309">
        <v>40</v>
      </c>
      <c r="Q346" s="60" t="s">
        <v>456</v>
      </c>
      <c r="R346" s="309">
        <v>5024</v>
      </c>
      <c r="S346" s="60" t="s">
        <v>155</v>
      </c>
      <c r="T346" s="61">
        <v>190</v>
      </c>
      <c r="U346" s="60" t="s">
        <v>503</v>
      </c>
      <c r="V346" s="1">
        <v>3</v>
      </c>
      <c r="W346" s="1" t="s">
        <v>37</v>
      </c>
      <c r="X346" s="1" t="s">
        <v>1255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0</v>
      </c>
      <c r="AF346" s="2">
        <v>0</v>
      </c>
      <c r="AG346" s="2">
        <v>0</v>
      </c>
      <c r="AH346" s="2">
        <v>0.55</v>
      </c>
      <c r="AI346" s="2">
        <v>0.53</v>
      </c>
      <c r="AJ346" s="2">
        <v>-1139.38</v>
      </c>
      <c r="AK346" s="2">
        <v>0.61</v>
      </c>
      <c r="AL346" s="2">
        <v>0.49</v>
      </c>
      <c r="AM346" s="2">
        <v>3312.62</v>
      </c>
      <c r="AN346" s="2">
        <v>1608.27</v>
      </c>
      <c r="AO346" s="2">
        <v>961.16</v>
      </c>
      <c r="AP346" s="2">
        <v>918.37</v>
      </c>
      <c r="AQ346" s="2">
        <v>1037.71</v>
      </c>
      <c r="AR346" s="2">
        <v>551.81</v>
      </c>
      <c r="AS346" s="2">
        <v>781.04</v>
      </c>
      <c r="AT346" s="2">
        <v>401.97</v>
      </c>
      <c r="AU346" s="2">
        <v>375.32</v>
      </c>
      <c r="AV346" s="2">
        <v>29561.21</v>
      </c>
      <c r="AW346" s="1">
        <v>342</v>
      </c>
    </row>
    <row r="347" spans="1:49" ht="12.75">
      <c r="A347" s="5">
        <v>4010</v>
      </c>
      <c r="B347" s="2" t="s">
        <v>1257</v>
      </c>
      <c r="C347" s="305">
        <v>-8010.94</v>
      </c>
      <c r="D347" s="305">
        <v>0</v>
      </c>
      <c r="E347" s="305">
        <v>0</v>
      </c>
      <c r="F347" s="305">
        <v>-7932.94</v>
      </c>
      <c r="G347" s="305">
        <v>0</v>
      </c>
      <c r="H347" s="305">
        <v>0</v>
      </c>
      <c r="I347" s="305">
        <v>0</v>
      </c>
      <c r="J347" s="1" t="s">
        <v>746</v>
      </c>
      <c r="K347" s="3" t="s">
        <v>982</v>
      </c>
      <c r="L347" s="365"/>
      <c r="M347" s="2">
        <v>-7932.94</v>
      </c>
      <c r="N347" s="311">
        <v>410</v>
      </c>
      <c r="O347" s="310" t="s">
        <v>1190</v>
      </c>
      <c r="P347" s="309">
        <v>40</v>
      </c>
      <c r="Q347" s="60" t="s">
        <v>456</v>
      </c>
      <c r="R347" s="309">
        <v>5024</v>
      </c>
      <c r="S347" s="60" t="s">
        <v>155</v>
      </c>
      <c r="T347" s="61">
        <v>190</v>
      </c>
      <c r="U347" s="60" t="s">
        <v>503</v>
      </c>
      <c r="V347" s="1">
        <v>3</v>
      </c>
      <c r="W347" s="1" t="s">
        <v>37</v>
      </c>
      <c r="X347" s="1" t="s">
        <v>1258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0</v>
      </c>
      <c r="AF347" s="2">
        <v>0</v>
      </c>
      <c r="AG347" s="2">
        <v>0</v>
      </c>
      <c r="AH347" s="2">
        <v>0</v>
      </c>
      <c r="AI347" s="2">
        <v>0</v>
      </c>
      <c r="AJ347" s="2">
        <v>0</v>
      </c>
      <c r="AK347" s="2">
        <v>0</v>
      </c>
      <c r="AL347" s="2">
        <v>0</v>
      </c>
      <c r="AM347" s="2">
        <v>0</v>
      </c>
      <c r="AN347" s="2">
        <v>0</v>
      </c>
      <c r="AO347" s="2">
        <v>0</v>
      </c>
      <c r="AP347" s="2">
        <v>0</v>
      </c>
      <c r="AQ347" s="2">
        <v>0</v>
      </c>
      <c r="AR347" s="2">
        <v>0</v>
      </c>
      <c r="AS347" s="2">
        <v>0</v>
      </c>
      <c r="AT347" s="2">
        <v>78</v>
      </c>
      <c r="AU347" s="2">
        <v>0</v>
      </c>
      <c r="AV347" s="2">
        <v>-8010.94</v>
      </c>
      <c r="AW347" s="1">
        <v>343</v>
      </c>
    </row>
    <row r="348" spans="1:49" ht="12.75">
      <c r="A348" s="5">
        <v>4010</v>
      </c>
      <c r="B348" s="2" t="s">
        <v>1259</v>
      </c>
      <c r="C348" s="305">
        <v>7226.46</v>
      </c>
      <c r="D348" s="305">
        <v>0</v>
      </c>
      <c r="E348" s="305">
        <v>-11511.83</v>
      </c>
      <c r="F348" s="305">
        <v>17427.31</v>
      </c>
      <c r="G348" s="305">
        <v>0</v>
      </c>
      <c r="H348" s="305">
        <v>-10204.52</v>
      </c>
      <c r="I348" s="305">
        <v>0</v>
      </c>
      <c r="J348" s="1" t="s">
        <v>748</v>
      </c>
      <c r="K348" s="3" t="s">
        <v>982</v>
      </c>
      <c r="L348" s="365"/>
      <c r="M348" s="2">
        <v>17427.31</v>
      </c>
      <c r="N348" s="311">
        <v>410</v>
      </c>
      <c r="O348" s="310" t="s">
        <v>1190</v>
      </c>
      <c r="P348" s="309">
        <v>40</v>
      </c>
      <c r="Q348" s="60" t="s">
        <v>456</v>
      </c>
      <c r="R348" s="309">
        <v>5024</v>
      </c>
      <c r="S348" s="60" t="s">
        <v>155</v>
      </c>
      <c r="T348" s="61">
        <v>190</v>
      </c>
      <c r="U348" s="60" t="s">
        <v>503</v>
      </c>
      <c r="V348" s="1">
        <v>3</v>
      </c>
      <c r="W348" s="1" t="s">
        <v>37</v>
      </c>
      <c r="X348" s="1" t="s">
        <v>1258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0</v>
      </c>
      <c r="AF348" s="2">
        <v>0</v>
      </c>
      <c r="AG348" s="2">
        <v>0</v>
      </c>
      <c r="AH348" s="2">
        <v>561.85</v>
      </c>
      <c r="AI348" s="2">
        <v>745.46</v>
      </c>
      <c r="AJ348" s="2">
        <v>-11511.83</v>
      </c>
      <c r="AK348" s="2">
        <v>860.31</v>
      </c>
      <c r="AL348" s="2">
        <v>664.43</v>
      </c>
      <c r="AM348" s="2">
        <v>1166.28</v>
      </c>
      <c r="AN348" s="2">
        <v>838.29</v>
      </c>
      <c r="AO348" s="2">
        <v>808.81</v>
      </c>
      <c r="AP348" s="2">
        <v>383.8</v>
      </c>
      <c r="AQ348" s="2">
        <v>702.34</v>
      </c>
      <c r="AR348" s="2">
        <v>1334.19</v>
      </c>
      <c r="AS348" s="2">
        <v>1275.83</v>
      </c>
      <c r="AT348" s="2">
        <v>790.14</v>
      </c>
      <c r="AU348" s="2">
        <v>1376.43</v>
      </c>
      <c r="AV348" s="2">
        <v>7226.46</v>
      </c>
      <c r="AW348" s="1">
        <v>344</v>
      </c>
    </row>
    <row r="349" spans="1:49" ht="12.75">
      <c r="A349" s="5">
        <v>4010</v>
      </c>
      <c r="B349" s="2" t="s">
        <v>1260</v>
      </c>
      <c r="C349" s="305">
        <v>2798.35</v>
      </c>
      <c r="D349" s="305">
        <v>0</v>
      </c>
      <c r="E349" s="305">
        <v>-38783.04</v>
      </c>
      <c r="F349" s="305">
        <v>6019.98</v>
      </c>
      <c r="G349" s="305">
        <v>0</v>
      </c>
      <c r="H349" s="305">
        <v>-27770.78</v>
      </c>
      <c r="I349" s="305">
        <v>0</v>
      </c>
      <c r="J349" s="1" t="s">
        <v>750</v>
      </c>
      <c r="K349" s="3" t="s">
        <v>982</v>
      </c>
      <c r="L349" s="365"/>
      <c r="M349" s="2">
        <v>6019.98</v>
      </c>
      <c r="N349" s="311">
        <v>410</v>
      </c>
      <c r="O349" s="310" t="s">
        <v>1190</v>
      </c>
      <c r="P349" s="309">
        <v>40</v>
      </c>
      <c r="Q349" s="60" t="s">
        <v>456</v>
      </c>
      <c r="R349" s="309">
        <v>5024</v>
      </c>
      <c r="S349" s="60" t="s">
        <v>155</v>
      </c>
      <c r="T349" s="61">
        <v>190</v>
      </c>
      <c r="U349" s="60" t="s">
        <v>503</v>
      </c>
      <c r="V349" s="1">
        <v>3</v>
      </c>
      <c r="W349" s="1" t="s">
        <v>37</v>
      </c>
      <c r="X349" s="1" t="s">
        <v>1258</v>
      </c>
      <c r="Y349" s="2">
        <v>0</v>
      </c>
      <c r="Z349" s="2">
        <v>0</v>
      </c>
      <c r="AA349" s="2">
        <v>0</v>
      </c>
      <c r="AB349" s="2">
        <v>0</v>
      </c>
      <c r="AC349" s="2">
        <v>0</v>
      </c>
      <c r="AD349" s="2">
        <v>0</v>
      </c>
      <c r="AE349" s="2">
        <v>0</v>
      </c>
      <c r="AF349" s="2">
        <v>0</v>
      </c>
      <c r="AG349" s="2">
        <v>0</v>
      </c>
      <c r="AH349" s="2">
        <v>94.89</v>
      </c>
      <c r="AI349" s="2">
        <v>10917.37</v>
      </c>
      <c r="AJ349" s="2">
        <v>-38783.04</v>
      </c>
      <c r="AK349" s="2">
        <v>54.32</v>
      </c>
      <c r="AL349" s="2">
        <v>158.39</v>
      </c>
      <c r="AM349" s="2">
        <v>271.06</v>
      </c>
      <c r="AN349" s="2">
        <v>1072.69</v>
      </c>
      <c r="AO349" s="2">
        <v>320.93</v>
      </c>
      <c r="AP349" s="2">
        <v>311.23</v>
      </c>
      <c r="AQ349" s="2">
        <v>477.92</v>
      </c>
      <c r="AR349" s="2">
        <v>401.3</v>
      </c>
      <c r="AS349" s="2">
        <v>114.1</v>
      </c>
      <c r="AT349" s="2">
        <v>38.69</v>
      </c>
      <c r="AU349" s="2">
        <v>1</v>
      </c>
      <c r="AV349" s="2">
        <v>2798.35</v>
      </c>
      <c r="AW349" s="1">
        <v>345</v>
      </c>
    </row>
    <row r="350" spans="1:49" ht="12.75">
      <c r="A350" s="5">
        <v>4010</v>
      </c>
      <c r="B350" s="2" t="s">
        <v>1261</v>
      </c>
      <c r="C350" s="305">
        <v>36714.54</v>
      </c>
      <c r="D350" s="305">
        <v>0</v>
      </c>
      <c r="E350" s="305">
        <v>-12262.42</v>
      </c>
      <c r="F350" s="305">
        <v>220022.36</v>
      </c>
      <c r="G350" s="305">
        <v>0</v>
      </c>
      <c r="H350" s="305">
        <v>3735.44</v>
      </c>
      <c r="I350" s="305">
        <v>0</v>
      </c>
      <c r="J350" s="1" t="s">
        <v>752</v>
      </c>
      <c r="K350" s="3" t="s">
        <v>982</v>
      </c>
      <c r="L350" s="365"/>
      <c r="M350" s="2">
        <v>220022.36</v>
      </c>
      <c r="N350" s="311">
        <v>410</v>
      </c>
      <c r="O350" s="310" t="s">
        <v>1190</v>
      </c>
      <c r="P350" s="309">
        <v>40</v>
      </c>
      <c r="Q350" s="60" t="s">
        <v>456</v>
      </c>
      <c r="R350" s="309">
        <v>5024</v>
      </c>
      <c r="S350" s="60" t="s">
        <v>155</v>
      </c>
      <c r="T350" s="61">
        <v>190</v>
      </c>
      <c r="U350" s="60" t="s">
        <v>503</v>
      </c>
      <c r="V350" s="1">
        <v>3</v>
      </c>
      <c r="W350" s="1" t="s">
        <v>37</v>
      </c>
      <c r="X350" s="1" t="s">
        <v>1262</v>
      </c>
      <c r="Y350" s="2">
        <v>0</v>
      </c>
      <c r="Z350" s="2">
        <v>0</v>
      </c>
      <c r="AA350" s="2">
        <v>0</v>
      </c>
      <c r="AB350" s="2">
        <v>0</v>
      </c>
      <c r="AC350" s="2">
        <v>0</v>
      </c>
      <c r="AD350" s="2">
        <v>0</v>
      </c>
      <c r="AE350" s="2">
        <v>0</v>
      </c>
      <c r="AF350" s="2">
        <v>0</v>
      </c>
      <c r="AG350" s="2">
        <v>0</v>
      </c>
      <c r="AH350" s="2">
        <v>5371.46</v>
      </c>
      <c r="AI350" s="2">
        <v>10626.4</v>
      </c>
      <c r="AJ350" s="2">
        <v>-12262.42</v>
      </c>
      <c r="AK350" s="2">
        <v>14641.02</v>
      </c>
      <c r="AL350" s="2">
        <v>14443.24</v>
      </c>
      <c r="AM350" s="2">
        <v>13722.55</v>
      </c>
      <c r="AN350" s="2">
        <v>30802.16</v>
      </c>
      <c r="AO350" s="2">
        <v>16459.56</v>
      </c>
      <c r="AP350" s="2">
        <v>27917.36</v>
      </c>
      <c r="AQ350" s="2">
        <v>21244.91</v>
      </c>
      <c r="AR350" s="2">
        <v>13703.28</v>
      </c>
      <c r="AS350" s="2">
        <v>10925.75</v>
      </c>
      <c r="AT350" s="2">
        <v>9534.54</v>
      </c>
      <c r="AU350" s="2">
        <v>9913.45</v>
      </c>
      <c r="AV350" s="2">
        <v>36714.54</v>
      </c>
      <c r="AW350" s="1">
        <v>346</v>
      </c>
    </row>
    <row r="351" spans="1:49" ht="12.75">
      <c r="A351" s="5">
        <v>4010</v>
      </c>
      <c r="B351" s="2" t="s">
        <v>1263</v>
      </c>
      <c r="C351" s="305">
        <v>-594.29</v>
      </c>
      <c r="D351" s="305">
        <v>0</v>
      </c>
      <c r="E351" s="305">
        <v>6458.64</v>
      </c>
      <c r="F351" s="305">
        <v>2900</v>
      </c>
      <c r="G351" s="305">
        <v>0</v>
      </c>
      <c r="H351" s="305">
        <v>10210.64</v>
      </c>
      <c r="I351" s="305">
        <v>0</v>
      </c>
      <c r="J351" s="1" t="s">
        <v>754</v>
      </c>
      <c r="K351" s="3" t="s">
        <v>982</v>
      </c>
      <c r="L351" s="365"/>
      <c r="M351" s="2">
        <v>2900</v>
      </c>
      <c r="N351" s="311">
        <v>410</v>
      </c>
      <c r="O351" s="310" t="s">
        <v>1190</v>
      </c>
      <c r="P351" s="309">
        <v>40</v>
      </c>
      <c r="Q351" s="60" t="s">
        <v>456</v>
      </c>
      <c r="R351" s="309">
        <v>5024</v>
      </c>
      <c r="S351" s="60" t="s">
        <v>155</v>
      </c>
      <c r="T351" s="61">
        <v>190</v>
      </c>
      <c r="U351" s="60" t="s">
        <v>503</v>
      </c>
      <c r="V351" s="1">
        <v>3</v>
      </c>
      <c r="W351" s="1" t="s">
        <v>37</v>
      </c>
      <c r="X351" s="1" t="s">
        <v>1258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0</v>
      </c>
      <c r="AF351" s="2">
        <v>0</v>
      </c>
      <c r="AG351" s="2">
        <v>0</v>
      </c>
      <c r="AH351" s="2">
        <v>1005</v>
      </c>
      <c r="AI351" s="2">
        <v>2747</v>
      </c>
      <c r="AJ351" s="2">
        <v>6458.64</v>
      </c>
      <c r="AK351" s="2">
        <v>3015</v>
      </c>
      <c r="AL351" s="2">
        <v>17.65</v>
      </c>
      <c r="AM351" s="2">
        <v>60.96</v>
      </c>
      <c r="AN351" s="2">
        <v>128.6</v>
      </c>
      <c r="AO351" s="2">
        <v>104.27</v>
      </c>
      <c r="AP351" s="2">
        <v>70.6</v>
      </c>
      <c r="AQ351" s="2">
        <v>32.95</v>
      </c>
      <c r="AR351" s="2">
        <v>40.35</v>
      </c>
      <c r="AS351" s="2">
        <v>23.91</v>
      </c>
      <c r="AT351" s="2">
        <v>0</v>
      </c>
      <c r="AU351" s="2">
        <v>0</v>
      </c>
      <c r="AV351" s="2">
        <v>-594.29</v>
      </c>
      <c r="AW351" s="1">
        <v>347</v>
      </c>
    </row>
    <row r="352" spans="1:49" ht="12.75">
      <c r="A352" s="5">
        <v>4010</v>
      </c>
      <c r="B352" s="2" t="s">
        <v>1264</v>
      </c>
      <c r="C352" s="305">
        <v>111620.1</v>
      </c>
      <c r="D352" s="305">
        <v>0</v>
      </c>
      <c r="E352" s="305">
        <v>18205.9</v>
      </c>
      <c r="F352" s="305">
        <v>111620.1</v>
      </c>
      <c r="G352" s="305">
        <v>0</v>
      </c>
      <c r="H352" s="305">
        <v>18205.9</v>
      </c>
      <c r="I352" s="305">
        <v>0</v>
      </c>
      <c r="J352" s="1" t="s">
        <v>756</v>
      </c>
      <c r="K352" s="3" t="s">
        <v>982</v>
      </c>
      <c r="L352" s="365"/>
      <c r="M352" s="2">
        <v>111620.1</v>
      </c>
      <c r="N352" s="311">
        <v>410</v>
      </c>
      <c r="O352" s="310" t="s">
        <v>1190</v>
      </c>
      <c r="P352" s="309">
        <v>40</v>
      </c>
      <c r="Q352" s="60" t="s">
        <v>456</v>
      </c>
      <c r="R352" s="309">
        <v>5024</v>
      </c>
      <c r="S352" s="60" t="s">
        <v>155</v>
      </c>
      <c r="T352" s="61">
        <v>190</v>
      </c>
      <c r="U352" s="60" t="s">
        <v>503</v>
      </c>
      <c r="V352" s="1">
        <v>3</v>
      </c>
      <c r="W352" s="1" t="s">
        <v>37</v>
      </c>
      <c r="X352" s="1" t="s">
        <v>1258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0</v>
      </c>
      <c r="AG352" s="2">
        <v>0</v>
      </c>
      <c r="AH352" s="2">
        <v>0</v>
      </c>
      <c r="AI352" s="2">
        <v>0</v>
      </c>
      <c r="AJ352" s="2">
        <v>18205.9</v>
      </c>
      <c r="AK352" s="2">
        <v>0</v>
      </c>
      <c r="AL352" s="2">
        <v>0</v>
      </c>
      <c r="AM352" s="2">
        <v>0</v>
      </c>
      <c r="AN352" s="2">
        <v>0</v>
      </c>
      <c r="AO352" s="2">
        <v>0</v>
      </c>
      <c r="AP352" s="2">
        <v>0</v>
      </c>
      <c r="AQ352" s="2">
        <v>0</v>
      </c>
      <c r="AR352" s="2">
        <v>0</v>
      </c>
      <c r="AS352" s="2">
        <v>0</v>
      </c>
      <c r="AT352" s="2">
        <v>0</v>
      </c>
      <c r="AU352" s="2">
        <v>0</v>
      </c>
      <c r="AV352" s="2">
        <v>111620.1</v>
      </c>
      <c r="AW352" s="1">
        <v>348</v>
      </c>
    </row>
    <row r="353" spans="1:49" ht="12.75">
      <c r="A353" s="5">
        <v>4010</v>
      </c>
      <c r="B353" s="2" t="s">
        <v>1265</v>
      </c>
      <c r="C353" s="305">
        <v>-3923.25</v>
      </c>
      <c r="D353" s="305">
        <v>0</v>
      </c>
      <c r="E353" s="305">
        <v>9188.08</v>
      </c>
      <c r="F353" s="305">
        <v>58975.52</v>
      </c>
      <c r="G353" s="305">
        <v>0</v>
      </c>
      <c r="H353" s="305">
        <v>21389.34</v>
      </c>
      <c r="I353" s="305">
        <v>0</v>
      </c>
      <c r="J353" s="1" t="s">
        <v>758</v>
      </c>
      <c r="K353" s="3" t="s">
        <v>982</v>
      </c>
      <c r="L353" s="365"/>
      <c r="M353" s="2">
        <v>58975.52</v>
      </c>
      <c r="N353" s="311">
        <v>410</v>
      </c>
      <c r="O353" s="310" t="s">
        <v>1190</v>
      </c>
      <c r="P353" s="309">
        <v>40</v>
      </c>
      <c r="Q353" s="60" t="s">
        <v>456</v>
      </c>
      <c r="R353" s="309">
        <v>5024</v>
      </c>
      <c r="S353" s="60" t="s">
        <v>155</v>
      </c>
      <c r="T353" s="61">
        <v>200</v>
      </c>
      <c r="U353" s="60" t="s">
        <v>499</v>
      </c>
      <c r="V353" s="1">
        <v>3</v>
      </c>
      <c r="W353" s="1" t="s">
        <v>37</v>
      </c>
      <c r="X353" s="1" t="s">
        <v>1266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2">
        <v>0</v>
      </c>
      <c r="AF353" s="2">
        <v>0</v>
      </c>
      <c r="AG353" s="2">
        <v>0</v>
      </c>
      <c r="AH353" s="2">
        <v>4502.47</v>
      </c>
      <c r="AI353" s="2">
        <v>7698.79</v>
      </c>
      <c r="AJ353" s="2">
        <v>9188.08</v>
      </c>
      <c r="AK353" s="2">
        <v>8141.62</v>
      </c>
      <c r="AL353" s="2">
        <v>8135.28</v>
      </c>
      <c r="AM353" s="2">
        <v>8157.75</v>
      </c>
      <c r="AN353" s="2">
        <v>5353.52</v>
      </c>
      <c r="AO353" s="2">
        <v>4865.65</v>
      </c>
      <c r="AP353" s="2">
        <v>5674.7</v>
      </c>
      <c r="AQ353" s="2">
        <v>5387.61</v>
      </c>
      <c r="AR353" s="2">
        <v>4165.79</v>
      </c>
      <c r="AS353" s="2">
        <v>5046.18</v>
      </c>
      <c r="AT353" s="2">
        <v>2695.44</v>
      </c>
      <c r="AU353" s="2">
        <v>5275.23</v>
      </c>
      <c r="AV353" s="2">
        <v>-3923.25</v>
      </c>
      <c r="AW353" s="1">
        <v>349</v>
      </c>
    </row>
    <row r="354" spans="1:49" ht="12.75">
      <c r="A354" s="5">
        <v>4010</v>
      </c>
      <c r="B354" s="2" t="s">
        <v>1267</v>
      </c>
      <c r="C354" s="305">
        <v>6208.67</v>
      </c>
      <c r="D354" s="305">
        <v>0</v>
      </c>
      <c r="E354" s="305">
        <v>36.14</v>
      </c>
      <c r="F354" s="305">
        <v>27556.97</v>
      </c>
      <c r="G354" s="305">
        <v>0</v>
      </c>
      <c r="H354" s="305">
        <v>2062.88</v>
      </c>
      <c r="I354" s="305">
        <v>0</v>
      </c>
      <c r="J354" s="1" t="s">
        <v>760</v>
      </c>
      <c r="K354" s="3" t="s">
        <v>982</v>
      </c>
      <c r="L354" s="365"/>
      <c r="M354" s="2">
        <v>27556.97</v>
      </c>
      <c r="N354" s="311">
        <v>410</v>
      </c>
      <c r="O354" s="310" t="s">
        <v>1190</v>
      </c>
      <c r="P354" s="309">
        <v>40</v>
      </c>
      <c r="Q354" s="60" t="s">
        <v>456</v>
      </c>
      <c r="R354" s="309">
        <v>5024</v>
      </c>
      <c r="S354" s="60" t="s">
        <v>155</v>
      </c>
      <c r="T354" s="61">
        <v>200</v>
      </c>
      <c r="U354" s="60" t="s">
        <v>499</v>
      </c>
      <c r="V354" s="1">
        <v>3</v>
      </c>
      <c r="W354" s="1" t="s">
        <v>37</v>
      </c>
      <c r="X354" s="1" t="s">
        <v>1268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2">
        <v>0</v>
      </c>
      <c r="AE354" s="2">
        <v>0</v>
      </c>
      <c r="AF354" s="2">
        <v>0</v>
      </c>
      <c r="AG354" s="2">
        <v>0</v>
      </c>
      <c r="AH354" s="2">
        <v>1116.42</v>
      </c>
      <c r="AI354" s="2">
        <v>910.32</v>
      </c>
      <c r="AJ354" s="2">
        <v>36.14</v>
      </c>
      <c r="AK354" s="2">
        <v>970.9</v>
      </c>
      <c r="AL354" s="2">
        <v>1236.26</v>
      </c>
      <c r="AM354" s="2">
        <v>1422.9</v>
      </c>
      <c r="AN354" s="2">
        <v>2507.28</v>
      </c>
      <c r="AO354" s="2">
        <v>1616.56</v>
      </c>
      <c r="AP354" s="2">
        <v>1710.34</v>
      </c>
      <c r="AQ354" s="2">
        <v>1486.57</v>
      </c>
      <c r="AR354" s="2">
        <v>1730.64</v>
      </c>
      <c r="AS354" s="2">
        <v>3392.42</v>
      </c>
      <c r="AT354" s="2">
        <v>2558.16</v>
      </c>
      <c r="AU354" s="2">
        <v>2716.27</v>
      </c>
      <c r="AV354" s="2">
        <v>6208.67</v>
      </c>
      <c r="AW354" s="1">
        <v>350</v>
      </c>
    </row>
    <row r="355" spans="1:49" ht="12.75">
      <c r="A355" s="5">
        <v>4010</v>
      </c>
      <c r="B355" s="2" t="s">
        <v>1269</v>
      </c>
      <c r="C355" s="305">
        <v>2822.75</v>
      </c>
      <c r="D355" s="305">
        <v>0</v>
      </c>
      <c r="E355" s="305">
        <v>-100248.64</v>
      </c>
      <c r="F355" s="305">
        <v>34496.16</v>
      </c>
      <c r="G355" s="305">
        <v>0</v>
      </c>
      <c r="H355" s="305">
        <v>-98036.18</v>
      </c>
      <c r="I355" s="305">
        <v>0</v>
      </c>
      <c r="J355" s="1" t="s">
        <v>762</v>
      </c>
      <c r="K355" s="3" t="s">
        <v>982</v>
      </c>
      <c r="L355" s="365"/>
      <c r="M355" s="2">
        <v>34496.16</v>
      </c>
      <c r="N355" s="311">
        <v>410</v>
      </c>
      <c r="O355" s="310" t="s">
        <v>1190</v>
      </c>
      <c r="P355" s="309">
        <v>40</v>
      </c>
      <c r="Q355" s="60" t="s">
        <v>456</v>
      </c>
      <c r="R355" s="309">
        <v>5024</v>
      </c>
      <c r="S355" s="60" t="s">
        <v>155</v>
      </c>
      <c r="T355" s="61">
        <v>200</v>
      </c>
      <c r="U355" s="60" t="s">
        <v>499</v>
      </c>
      <c r="V355" s="1">
        <v>3</v>
      </c>
      <c r="W355" s="1" t="s">
        <v>37</v>
      </c>
      <c r="X355" s="1" t="s">
        <v>1268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  <c r="AE355" s="2">
        <v>0</v>
      </c>
      <c r="AF355" s="2">
        <v>0</v>
      </c>
      <c r="AG355" s="2">
        <v>0</v>
      </c>
      <c r="AH355" s="2">
        <v>1116.11</v>
      </c>
      <c r="AI355" s="2">
        <v>1096.35</v>
      </c>
      <c r="AJ355" s="2">
        <v>-100248.64</v>
      </c>
      <c r="AK355" s="2">
        <v>1059.12</v>
      </c>
      <c r="AL355" s="2">
        <v>874.29</v>
      </c>
      <c r="AM355" s="2">
        <v>3651.74</v>
      </c>
      <c r="AN355" s="2">
        <v>1914.57</v>
      </c>
      <c r="AO355" s="2">
        <v>2464.47</v>
      </c>
      <c r="AP355" s="2">
        <v>2756.23</v>
      </c>
      <c r="AQ355" s="2">
        <v>2776.39</v>
      </c>
      <c r="AR355" s="2">
        <v>4952.86</v>
      </c>
      <c r="AS355" s="2">
        <v>3702.72</v>
      </c>
      <c r="AT355" s="2">
        <v>5633.61</v>
      </c>
      <c r="AU355" s="2">
        <v>1887.41</v>
      </c>
      <c r="AV355" s="2">
        <v>2822.75</v>
      </c>
      <c r="AW355" s="1">
        <v>351</v>
      </c>
    </row>
    <row r="356" spans="1:49" ht="12.75">
      <c r="A356" s="5">
        <v>4010</v>
      </c>
      <c r="B356" s="2" t="s">
        <v>1270</v>
      </c>
      <c r="C356" s="305">
        <v>-42238.93</v>
      </c>
      <c r="D356" s="305">
        <v>0</v>
      </c>
      <c r="E356" s="305">
        <v>-89949.43</v>
      </c>
      <c r="F356" s="305">
        <v>911.52</v>
      </c>
      <c r="G356" s="305">
        <v>0</v>
      </c>
      <c r="H356" s="305">
        <v>-86186.6</v>
      </c>
      <c r="I356" s="305">
        <v>0</v>
      </c>
      <c r="J356" s="1" t="s">
        <v>764</v>
      </c>
      <c r="K356" s="3" t="s">
        <v>982</v>
      </c>
      <c r="L356" s="365"/>
      <c r="M356" s="2">
        <v>911.52</v>
      </c>
      <c r="N356" s="311">
        <v>410</v>
      </c>
      <c r="O356" s="310" t="s">
        <v>1190</v>
      </c>
      <c r="P356" s="309">
        <v>40</v>
      </c>
      <c r="Q356" s="60" t="s">
        <v>456</v>
      </c>
      <c r="R356" s="309">
        <v>2001</v>
      </c>
      <c r="S356" s="60" t="s">
        <v>203</v>
      </c>
      <c r="T356" s="61">
        <v>200</v>
      </c>
      <c r="U356" s="60" t="s">
        <v>499</v>
      </c>
      <c r="V356" s="1">
        <v>3</v>
      </c>
      <c r="W356" s="1" t="s">
        <v>37</v>
      </c>
      <c r="X356" s="1" t="s">
        <v>1271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  <c r="AE356" s="2">
        <v>0</v>
      </c>
      <c r="AF356" s="2">
        <v>0</v>
      </c>
      <c r="AG356" s="2">
        <v>0</v>
      </c>
      <c r="AH356" s="2">
        <v>1690.65</v>
      </c>
      <c r="AI356" s="2">
        <v>2072.18</v>
      </c>
      <c r="AJ356" s="2">
        <v>-89949.43</v>
      </c>
      <c r="AK356" s="2">
        <v>1812.87</v>
      </c>
      <c r="AL356" s="2">
        <v>1937.79</v>
      </c>
      <c r="AM356" s="2">
        <v>2221.53</v>
      </c>
      <c r="AN356" s="2">
        <v>3160.69</v>
      </c>
      <c r="AO356" s="2">
        <v>3333.44</v>
      </c>
      <c r="AP356" s="2">
        <v>7128.6</v>
      </c>
      <c r="AQ356" s="2">
        <v>5235.55</v>
      </c>
      <c r="AR356" s="2">
        <v>9642.65</v>
      </c>
      <c r="AS356" s="2">
        <v>4726.03</v>
      </c>
      <c r="AT356" s="2">
        <v>2131.86</v>
      </c>
      <c r="AU356" s="2">
        <v>1819.44</v>
      </c>
      <c r="AV356" s="2">
        <v>-42238.93</v>
      </c>
      <c r="AW356" s="1">
        <v>352</v>
      </c>
    </row>
    <row r="357" spans="1:49" ht="12.75">
      <c r="A357" s="5">
        <v>4010</v>
      </c>
      <c r="B357" s="2" t="s">
        <v>1272</v>
      </c>
      <c r="C357" s="305">
        <v>-40250.83</v>
      </c>
      <c r="D357" s="305">
        <v>0</v>
      </c>
      <c r="E357" s="305">
        <v>-27363.16</v>
      </c>
      <c r="F357" s="305">
        <v>131730.24</v>
      </c>
      <c r="G357" s="305">
        <v>0</v>
      </c>
      <c r="H357" s="305">
        <v>23711.4</v>
      </c>
      <c r="I357" s="305">
        <v>0</v>
      </c>
      <c r="J357" s="1" t="s">
        <v>766</v>
      </c>
      <c r="K357" s="3" t="s">
        <v>982</v>
      </c>
      <c r="L357" s="365"/>
      <c r="M357" s="2">
        <v>131730.24</v>
      </c>
      <c r="N357" s="311">
        <v>410</v>
      </c>
      <c r="O357" s="310" t="s">
        <v>1190</v>
      </c>
      <c r="P357" s="309">
        <v>40</v>
      </c>
      <c r="Q357" s="60" t="s">
        <v>456</v>
      </c>
      <c r="R357" s="309">
        <v>5014</v>
      </c>
      <c r="S357" s="60" t="s">
        <v>211</v>
      </c>
      <c r="T357" s="61">
        <v>200</v>
      </c>
      <c r="U357" s="60" t="s">
        <v>499</v>
      </c>
      <c r="V357" s="1">
        <v>3</v>
      </c>
      <c r="W357" s="1" t="s">
        <v>37</v>
      </c>
      <c r="X357" s="1" t="s">
        <v>1228</v>
      </c>
      <c r="Y357" s="2">
        <v>0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  <c r="AE357" s="2">
        <v>0</v>
      </c>
      <c r="AF357" s="2">
        <v>0</v>
      </c>
      <c r="AG357" s="2">
        <v>0</v>
      </c>
      <c r="AH357" s="2">
        <v>33074.56</v>
      </c>
      <c r="AI357" s="2">
        <v>18000</v>
      </c>
      <c r="AJ357" s="2">
        <v>-27363.16</v>
      </c>
      <c r="AK357" s="2">
        <v>2280.17</v>
      </c>
      <c r="AL357" s="2">
        <v>862.37</v>
      </c>
      <c r="AM357" s="2">
        <v>14950.97</v>
      </c>
      <c r="AN357" s="2">
        <v>45406</v>
      </c>
      <c r="AO357" s="2">
        <v>25028.92</v>
      </c>
      <c r="AP357" s="2">
        <v>6507.23</v>
      </c>
      <c r="AQ357" s="2">
        <v>1199.88</v>
      </c>
      <c r="AR357" s="2">
        <v>959.75</v>
      </c>
      <c r="AS357" s="2">
        <v>2103.79</v>
      </c>
      <c r="AT357" s="2">
        <v>21520.69</v>
      </c>
      <c r="AU357" s="2">
        <v>51161.3</v>
      </c>
      <c r="AV357" s="2">
        <v>-40250.83</v>
      </c>
      <c r="AW357" s="1">
        <v>353</v>
      </c>
    </row>
    <row r="358" spans="1:49" ht="12.75">
      <c r="A358" s="5">
        <v>4010</v>
      </c>
      <c r="B358" s="2" t="s">
        <v>1273</v>
      </c>
      <c r="C358" s="305">
        <v>36474.93</v>
      </c>
      <c r="D358" s="305">
        <v>0</v>
      </c>
      <c r="E358" s="305">
        <v>0</v>
      </c>
      <c r="F358" s="305">
        <v>145549.96</v>
      </c>
      <c r="G358" s="305">
        <v>0</v>
      </c>
      <c r="H358" s="305">
        <v>0</v>
      </c>
      <c r="I358" s="305">
        <v>0</v>
      </c>
      <c r="J358" s="1" t="s">
        <v>1035</v>
      </c>
      <c r="K358" s="3" t="s">
        <v>982</v>
      </c>
      <c r="L358" s="365"/>
      <c r="M358" s="2">
        <v>145549.96</v>
      </c>
      <c r="N358" s="311">
        <v>410</v>
      </c>
      <c r="O358" s="310" t="s">
        <v>1190</v>
      </c>
      <c r="P358" s="309">
        <v>40</v>
      </c>
      <c r="Q358" s="60" t="s">
        <v>456</v>
      </c>
      <c r="R358" s="309">
        <v>5014</v>
      </c>
      <c r="S358" s="60" t="s">
        <v>211</v>
      </c>
      <c r="T358" s="61">
        <v>200</v>
      </c>
      <c r="U358" s="60" t="s">
        <v>499</v>
      </c>
      <c r="V358" s="1">
        <v>3</v>
      </c>
      <c r="W358" s="1" t="s">
        <v>37</v>
      </c>
      <c r="X358" s="1" t="s">
        <v>1228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0</v>
      </c>
      <c r="AE358" s="2">
        <v>0</v>
      </c>
      <c r="AF358" s="2">
        <v>0</v>
      </c>
      <c r="AG358" s="2">
        <v>0</v>
      </c>
      <c r="AH358" s="2">
        <v>0</v>
      </c>
      <c r="AI358" s="2">
        <v>0</v>
      </c>
      <c r="AJ358" s="2">
        <v>0</v>
      </c>
      <c r="AK358" s="2">
        <v>0</v>
      </c>
      <c r="AL358" s="2">
        <v>0</v>
      </c>
      <c r="AM358" s="2">
        <v>0</v>
      </c>
      <c r="AN358" s="2">
        <v>23700</v>
      </c>
      <c r="AO358" s="2">
        <v>14945</v>
      </c>
      <c r="AP358" s="2">
        <v>19335</v>
      </c>
      <c r="AQ358" s="2">
        <v>6925</v>
      </c>
      <c r="AR358" s="2">
        <v>8295.03</v>
      </c>
      <c r="AS358" s="2">
        <v>9590</v>
      </c>
      <c r="AT358" s="2">
        <v>14710</v>
      </c>
      <c r="AU358" s="2">
        <v>11575</v>
      </c>
      <c r="AV358" s="2">
        <v>36474.93</v>
      </c>
      <c r="AW358" s="1">
        <v>354</v>
      </c>
    </row>
    <row r="359" spans="1:49" ht="12.75">
      <c r="A359" s="5">
        <v>4010</v>
      </c>
      <c r="B359" s="2" t="s">
        <v>1274</v>
      </c>
      <c r="C359" s="305">
        <v>0</v>
      </c>
      <c r="D359" s="305">
        <v>0</v>
      </c>
      <c r="E359" s="305">
        <v>57533</v>
      </c>
      <c r="F359" s="305">
        <v>0</v>
      </c>
      <c r="G359" s="305">
        <v>0</v>
      </c>
      <c r="H359" s="305">
        <v>57533</v>
      </c>
      <c r="I359" s="305">
        <v>0</v>
      </c>
      <c r="J359" s="1" t="s">
        <v>1037</v>
      </c>
      <c r="K359" s="3" t="s">
        <v>982</v>
      </c>
      <c r="L359" s="365"/>
      <c r="M359" s="2">
        <v>0</v>
      </c>
      <c r="N359" s="311">
        <v>410</v>
      </c>
      <c r="O359" s="310" t="s">
        <v>1190</v>
      </c>
      <c r="P359" s="309">
        <v>40</v>
      </c>
      <c r="Q359" s="60" t="s">
        <v>456</v>
      </c>
      <c r="R359" s="309">
        <v>5020</v>
      </c>
      <c r="S359" s="60" t="s">
        <v>205</v>
      </c>
      <c r="T359" s="61">
        <v>170</v>
      </c>
      <c r="U359" s="60" t="s">
        <v>501</v>
      </c>
      <c r="V359" s="1">
        <v>3</v>
      </c>
      <c r="W359" s="1" t="s">
        <v>37</v>
      </c>
      <c r="X359" s="1" t="s">
        <v>1275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  <c r="AE359" s="2">
        <v>0</v>
      </c>
      <c r="AF359" s="2">
        <v>0</v>
      </c>
      <c r="AG359" s="2">
        <v>0</v>
      </c>
      <c r="AH359" s="2">
        <v>0</v>
      </c>
      <c r="AI359" s="2">
        <v>0</v>
      </c>
      <c r="AJ359" s="2">
        <v>57533</v>
      </c>
      <c r="AK359" s="2">
        <v>0</v>
      </c>
      <c r="AL359" s="2">
        <v>0</v>
      </c>
      <c r="AM359" s="2">
        <v>0</v>
      </c>
      <c r="AN359" s="2">
        <v>0</v>
      </c>
      <c r="AO359" s="2">
        <v>0</v>
      </c>
      <c r="AP359" s="2">
        <v>0</v>
      </c>
      <c r="AQ359" s="2">
        <v>0</v>
      </c>
      <c r="AR359" s="2">
        <v>0</v>
      </c>
      <c r="AS359" s="2">
        <v>0</v>
      </c>
      <c r="AT359" s="2">
        <v>0</v>
      </c>
      <c r="AU359" s="2">
        <v>0</v>
      </c>
      <c r="AV359" s="2">
        <v>0</v>
      </c>
      <c r="AW359" s="1">
        <v>355</v>
      </c>
    </row>
    <row r="360" spans="1:49" ht="12.75">
      <c r="A360" s="5">
        <v>4010</v>
      </c>
      <c r="B360" s="2" t="s">
        <v>1276</v>
      </c>
      <c r="C360" s="305">
        <v>0</v>
      </c>
      <c r="D360" s="305">
        <v>0</v>
      </c>
      <c r="E360" s="305">
        <v>-35812.2</v>
      </c>
      <c r="F360" s="305">
        <v>0</v>
      </c>
      <c r="G360" s="305">
        <v>0</v>
      </c>
      <c r="H360" s="305">
        <v>78207.8</v>
      </c>
      <c r="I360" s="305">
        <v>0</v>
      </c>
      <c r="J360" s="1" t="s">
        <v>1040</v>
      </c>
      <c r="K360" s="3" t="s">
        <v>982</v>
      </c>
      <c r="L360" s="365"/>
      <c r="M360" s="2">
        <v>0</v>
      </c>
      <c r="N360" s="311">
        <v>410</v>
      </c>
      <c r="O360" s="310" t="s">
        <v>1190</v>
      </c>
      <c r="P360" s="309">
        <v>40</v>
      </c>
      <c r="Q360" s="60" t="s">
        <v>456</v>
      </c>
      <c r="R360" s="309">
        <v>5020</v>
      </c>
      <c r="S360" s="60" t="s">
        <v>205</v>
      </c>
      <c r="T360" s="61">
        <v>170</v>
      </c>
      <c r="U360" s="60" t="s">
        <v>501</v>
      </c>
      <c r="V360" s="1">
        <v>3</v>
      </c>
      <c r="W360" s="1" t="s">
        <v>37</v>
      </c>
      <c r="X360" s="1" t="s">
        <v>1277</v>
      </c>
      <c r="Y360" s="2">
        <v>19735</v>
      </c>
      <c r="Z360" s="2">
        <v>14914</v>
      </c>
      <c r="AA360" s="2">
        <v>19336.5</v>
      </c>
      <c r="AB360" s="2">
        <v>15241.5</v>
      </c>
      <c r="AC360" s="2">
        <v>12424.5</v>
      </c>
      <c r="AD360" s="2">
        <v>12051</v>
      </c>
      <c r="AE360" s="2">
        <v>13077</v>
      </c>
      <c r="AF360" s="2">
        <v>7240.5</v>
      </c>
      <c r="AG360" s="2">
        <v>0</v>
      </c>
      <c r="AH360" s="2">
        <v>0</v>
      </c>
      <c r="AI360" s="2">
        <v>0</v>
      </c>
      <c r="AJ360" s="2">
        <v>-35812.2</v>
      </c>
      <c r="AK360" s="2">
        <v>0</v>
      </c>
      <c r="AL360" s="2">
        <v>0</v>
      </c>
      <c r="AM360" s="2">
        <v>0</v>
      </c>
      <c r="AN360" s="2">
        <v>0</v>
      </c>
      <c r="AO360" s="2">
        <v>0</v>
      </c>
      <c r="AP360" s="2">
        <v>0</v>
      </c>
      <c r="AQ360" s="2">
        <v>0</v>
      </c>
      <c r="AR360" s="2">
        <v>0</v>
      </c>
      <c r="AS360" s="2">
        <v>0</v>
      </c>
      <c r="AT360" s="2">
        <v>0</v>
      </c>
      <c r="AU360" s="2">
        <v>0</v>
      </c>
      <c r="AV360" s="2">
        <v>0</v>
      </c>
      <c r="AW360" s="1">
        <v>356</v>
      </c>
    </row>
    <row r="361" spans="1:49" ht="12.75">
      <c r="A361" s="5">
        <v>4010</v>
      </c>
      <c r="B361" s="2" t="s">
        <v>1278</v>
      </c>
      <c r="C361" s="305">
        <v>0</v>
      </c>
      <c r="D361" s="305">
        <v>0</v>
      </c>
      <c r="E361" s="305">
        <v>99207.23</v>
      </c>
      <c r="F361" s="305">
        <v>0</v>
      </c>
      <c r="G361" s="305">
        <v>0</v>
      </c>
      <c r="H361" s="305">
        <v>112659.87</v>
      </c>
      <c r="I361" s="305">
        <v>0</v>
      </c>
      <c r="J361" s="1" t="s">
        <v>768</v>
      </c>
      <c r="K361" s="3" t="s">
        <v>982</v>
      </c>
      <c r="L361" s="365"/>
      <c r="M361" s="2">
        <v>0</v>
      </c>
      <c r="N361" s="311">
        <v>410</v>
      </c>
      <c r="O361" s="310" t="s">
        <v>1190</v>
      </c>
      <c r="P361" s="309">
        <v>40</v>
      </c>
      <c r="Q361" s="60" t="s">
        <v>456</v>
      </c>
      <c r="R361" s="309">
        <v>5020</v>
      </c>
      <c r="S361" s="60" t="s">
        <v>205</v>
      </c>
      <c r="T361" s="61">
        <v>170</v>
      </c>
      <c r="U361" s="60" t="s">
        <v>501</v>
      </c>
      <c r="V361" s="1">
        <v>3</v>
      </c>
      <c r="W361" s="1" t="s">
        <v>37</v>
      </c>
      <c r="X361" s="1" t="s">
        <v>1246</v>
      </c>
      <c r="Y361" s="2">
        <v>153</v>
      </c>
      <c r="Z361" s="2">
        <v>256.5</v>
      </c>
      <c r="AA361" s="2">
        <v>202.5</v>
      </c>
      <c r="AB361" s="2">
        <v>172.8</v>
      </c>
      <c r="AC361" s="2">
        <v>200.63</v>
      </c>
      <c r="AD361" s="2">
        <v>36</v>
      </c>
      <c r="AE361" s="2">
        <v>0</v>
      </c>
      <c r="AF361" s="2">
        <v>2519.21</v>
      </c>
      <c r="AG361" s="2">
        <v>9912</v>
      </c>
      <c r="AH361" s="2">
        <v>0</v>
      </c>
      <c r="AI361" s="2">
        <v>0</v>
      </c>
      <c r="AJ361" s="2">
        <v>99207.23</v>
      </c>
      <c r="AK361" s="2">
        <v>0</v>
      </c>
      <c r="AL361" s="2">
        <v>0</v>
      </c>
      <c r="AM361" s="2">
        <v>0</v>
      </c>
      <c r="AN361" s="2">
        <v>0</v>
      </c>
      <c r="AO361" s="2">
        <v>0</v>
      </c>
      <c r="AP361" s="2">
        <v>0</v>
      </c>
      <c r="AQ361" s="2">
        <v>0</v>
      </c>
      <c r="AR361" s="2">
        <v>0</v>
      </c>
      <c r="AS361" s="2">
        <v>0</v>
      </c>
      <c r="AT361" s="2">
        <v>0</v>
      </c>
      <c r="AU361" s="2">
        <v>0</v>
      </c>
      <c r="AV361" s="2">
        <v>0</v>
      </c>
      <c r="AW361" s="1">
        <v>357</v>
      </c>
    </row>
    <row r="362" spans="1:49" ht="12.75">
      <c r="A362" s="5">
        <v>4010</v>
      </c>
      <c r="B362" s="2" t="s">
        <v>1279</v>
      </c>
      <c r="C362" s="305">
        <v>0</v>
      </c>
      <c r="D362" s="305">
        <v>0</v>
      </c>
      <c r="E362" s="305">
        <v>-4039.1</v>
      </c>
      <c r="F362" s="305">
        <v>0</v>
      </c>
      <c r="G362" s="305">
        <v>0</v>
      </c>
      <c r="H362" s="305">
        <v>40140.48</v>
      </c>
      <c r="I362" s="305">
        <v>0</v>
      </c>
      <c r="J362" s="1" t="s">
        <v>769</v>
      </c>
      <c r="K362" s="3" t="s">
        <v>982</v>
      </c>
      <c r="L362" s="365"/>
      <c r="M362" s="2">
        <v>0</v>
      </c>
      <c r="N362" s="311">
        <v>410</v>
      </c>
      <c r="O362" s="310" t="s">
        <v>1190</v>
      </c>
      <c r="P362" s="309">
        <v>40</v>
      </c>
      <c r="Q362" s="60" t="s">
        <v>456</v>
      </c>
      <c r="R362" s="309">
        <v>2001</v>
      </c>
      <c r="S362" s="60" t="s">
        <v>203</v>
      </c>
      <c r="T362" s="61">
        <v>200</v>
      </c>
      <c r="U362" s="60" t="s">
        <v>499</v>
      </c>
      <c r="V362" s="1">
        <v>3</v>
      </c>
      <c r="W362" s="1" t="s">
        <v>37</v>
      </c>
      <c r="X362" s="1" t="s">
        <v>1280</v>
      </c>
      <c r="Y362" s="2">
        <v>3335</v>
      </c>
      <c r="Z362" s="2">
        <v>7399.2</v>
      </c>
      <c r="AA362" s="2">
        <v>6178.57</v>
      </c>
      <c r="AB362" s="2">
        <v>6480.27</v>
      </c>
      <c r="AC362" s="2">
        <v>9281.17</v>
      </c>
      <c r="AD362" s="2">
        <v>8478.02</v>
      </c>
      <c r="AE362" s="2">
        <v>2262.67</v>
      </c>
      <c r="AF362" s="2">
        <v>764.68</v>
      </c>
      <c r="AG362" s="2">
        <v>0</v>
      </c>
      <c r="AH362" s="2">
        <v>0</v>
      </c>
      <c r="AI362" s="2">
        <v>0</v>
      </c>
      <c r="AJ362" s="2">
        <v>-4039.1</v>
      </c>
      <c r="AK362" s="2">
        <v>0</v>
      </c>
      <c r="AL362" s="2">
        <v>0</v>
      </c>
      <c r="AM362" s="2">
        <v>0</v>
      </c>
      <c r="AN362" s="2">
        <v>0</v>
      </c>
      <c r="AO362" s="2">
        <v>0</v>
      </c>
      <c r="AP362" s="2">
        <v>0</v>
      </c>
      <c r="AQ362" s="2">
        <v>0</v>
      </c>
      <c r="AR362" s="2">
        <v>0</v>
      </c>
      <c r="AS362" s="2">
        <v>0</v>
      </c>
      <c r="AT362" s="2">
        <v>0</v>
      </c>
      <c r="AU362" s="2">
        <v>0</v>
      </c>
      <c r="AV362" s="2">
        <v>0</v>
      </c>
      <c r="AW362" s="1">
        <v>358</v>
      </c>
    </row>
    <row r="363" spans="1:49" ht="12.75">
      <c r="A363" s="5">
        <v>4010</v>
      </c>
      <c r="B363" s="2" t="s">
        <v>1281</v>
      </c>
      <c r="C363" s="305">
        <v>0</v>
      </c>
      <c r="D363" s="305">
        <v>0</v>
      </c>
      <c r="E363" s="305">
        <v>-9319.98</v>
      </c>
      <c r="F363" s="305">
        <v>0</v>
      </c>
      <c r="G363" s="305">
        <v>0</v>
      </c>
      <c r="H363" s="305">
        <v>1066.2</v>
      </c>
      <c r="I363" s="305">
        <v>0</v>
      </c>
      <c r="J363" s="1" t="s">
        <v>770</v>
      </c>
      <c r="K363" s="3" t="s">
        <v>982</v>
      </c>
      <c r="L363" s="365"/>
      <c r="M363" s="2">
        <v>0</v>
      </c>
      <c r="N363" s="311">
        <v>410</v>
      </c>
      <c r="O363" s="310" t="s">
        <v>1190</v>
      </c>
      <c r="P363" s="309">
        <v>40</v>
      </c>
      <c r="Q363" s="60" t="s">
        <v>456</v>
      </c>
      <c r="R363" s="309">
        <v>2001</v>
      </c>
      <c r="S363" s="60" t="s">
        <v>203</v>
      </c>
      <c r="T363" s="61">
        <v>200</v>
      </c>
      <c r="U363" s="60" t="s">
        <v>499</v>
      </c>
      <c r="V363" s="1">
        <v>3</v>
      </c>
      <c r="W363" s="1" t="s">
        <v>37</v>
      </c>
      <c r="X363" s="1" t="s">
        <v>1271</v>
      </c>
      <c r="Y363" s="2">
        <v>252.76</v>
      </c>
      <c r="Z363" s="2">
        <v>284.78</v>
      </c>
      <c r="AA363" s="2">
        <v>726.03</v>
      </c>
      <c r="AB363" s="2">
        <v>576.07</v>
      </c>
      <c r="AC363" s="2">
        <v>1408.83</v>
      </c>
      <c r="AD363" s="2">
        <v>990.47</v>
      </c>
      <c r="AE363" s="2">
        <v>1825.58</v>
      </c>
      <c r="AF363" s="2">
        <v>2430.81</v>
      </c>
      <c r="AG363" s="2">
        <v>1890.85</v>
      </c>
      <c r="AH363" s="2">
        <v>0</v>
      </c>
      <c r="AI363" s="2">
        <v>0</v>
      </c>
      <c r="AJ363" s="2">
        <v>-9319.98</v>
      </c>
      <c r="AK363" s="2">
        <v>0</v>
      </c>
      <c r="AL363" s="2">
        <v>0</v>
      </c>
      <c r="AM363" s="2">
        <v>0</v>
      </c>
      <c r="AN363" s="2">
        <v>0</v>
      </c>
      <c r="AO363" s="2">
        <v>0</v>
      </c>
      <c r="AP363" s="2">
        <v>0</v>
      </c>
      <c r="AQ363" s="2">
        <v>0</v>
      </c>
      <c r="AR363" s="2">
        <v>0</v>
      </c>
      <c r="AS363" s="2">
        <v>0</v>
      </c>
      <c r="AT363" s="2">
        <v>0</v>
      </c>
      <c r="AU363" s="2">
        <v>0</v>
      </c>
      <c r="AV363" s="2">
        <v>0</v>
      </c>
      <c r="AW363" s="1">
        <v>359</v>
      </c>
    </row>
    <row r="364" spans="1:49" ht="12.75">
      <c r="A364" s="5">
        <v>4010</v>
      </c>
      <c r="B364" s="2" t="s">
        <v>1282</v>
      </c>
      <c r="C364" s="305">
        <v>0</v>
      </c>
      <c r="D364" s="305">
        <v>0</v>
      </c>
      <c r="E364" s="305">
        <v>792.68</v>
      </c>
      <c r="F364" s="305">
        <v>0</v>
      </c>
      <c r="G364" s="305">
        <v>0</v>
      </c>
      <c r="H364" s="305">
        <v>932.61</v>
      </c>
      <c r="I364" s="305">
        <v>0</v>
      </c>
      <c r="J364" s="1" t="s">
        <v>1044</v>
      </c>
      <c r="K364" s="3" t="s">
        <v>982</v>
      </c>
      <c r="L364" s="365"/>
      <c r="M364" s="2">
        <v>0</v>
      </c>
      <c r="N364" s="311">
        <v>410</v>
      </c>
      <c r="O364" s="310" t="s">
        <v>1190</v>
      </c>
      <c r="P364" s="309">
        <v>40</v>
      </c>
      <c r="Q364" s="60" t="s">
        <v>456</v>
      </c>
      <c r="R364" s="309">
        <v>2001</v>
      </c>
      <c r="S364" s="60" t="s">
        <v>203</v>
      </c>
      <c r="T364" s="61">
        <v>200</v>
      </c>
      <c r="U364" s="60" t="s">
        <v>499</v>
      </c>
      <c r="V364" s="1">
        <v>3</v>
      </c>
      <c r="W364" s="1" t="s">
        <v>37</v>
      </c>
      <c r="X364" s="1" t="s">
        <v>1283</v>
      </c>
      <c r="Y364" s="2">
        <v>0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139.93</v>
      </c>
      <c r="AF364" s="2">
        <v>0</v>
      </c>
      <c r="AG364" s="2">
        <v>0</v>
      </c>
      <c r="AH364" s="2">
        <v>0</v>
      </c>
      <c r="AI364" s="2">
        <v>0</v>
      </c>
      <c r="AJ364" s="2">
        <v>792.68</v>
      </c>
      <c r="AK364" s="2">
        <v>0</v>
      </c>
      <c r="AL364" s="2">
        <v>0</v>
      </c>
      <c r="AM364" s="2">
        <v>0</v>
      </c>
      <c r="AN364" s="2">
        <v>0</v>
      </c>
      <c r="AO364" s="2">
        <v>0</v>
      </c>
      <c r="AP364" s="2">
        <v>0</v>
      </c>
      <c r="AQ364" s="2">
        <v>0</v>
      </c>
      <c r="AR364" s="2">
        <v>0</v>
      </c>
      <c r="AS364" s="2">
        <v>0</v>
      </c>
      <c r="AT364" s="2">
        <v>0</v>
      </c>
      <c r="AU364" s="2">
        <v>0</v>
      </c>
      <c r="AV364" s="2">
        <v>0</v>
      </c>
      <c r="AW364" s="1">
        <v>360</v>
      </c>
    </row>
    <row r="365" spans="1:49" ht="12.75">
      <c r="A365" s="5">
        <v>4010</v>
      </c>
      <c r="B365" s="2" t="s">
        <v>1284</v>
      </c>
      <c r="C365" s="305">
        <v>0</v>
      </c>
      <c r="D365" s="305">
        <v>0</v>
      </c>
      <c r="E365" s="305">
        <v>-745.91</v>
      </c>
      <c r="F365" s="305">
        <v>0</v>
      </c>
      <c r="G365" s="305">
        <v>0</v>
      </c>
      <c r="H365" s="305">
        <v>0</v>
      </c>
      <c r="I365" s="305">
        <v>0</v>
      </c>
      <c r="J365" s="1" t="s">
        <v>771</v>
      </c>
      <c r="K365" s="3" t="s">
        <v>982</v>
      </c>
      <c r="L365" s="365"/>
      <c r="M365" s="2">
        <v>0</v>
      </c>
      <c r="N365" s="311">
        <v>410</v>
      </c>
      <c r="O365" s="310" t="s">
        <v>1190</v>
      </c>
      <c r="P365" s="309">
        <v>40</v>
      </c>
      <c r="Q365" s="60" t="s">
        <v>456</v>
      </c>
      <c r="R365" s="309">
        <v>2001</v>
      </c>
      <c r="S365" s="60" t="s">
        <v>203</v>
      </c>
      <c r="T365" s="61">
        <v>200</v>
      </c>
      <c r="U365" s="60" t="s">
        <v>499</v>
      </c>
      <c r="V365" s="1">
        <v>3</v>
      </c>
      <c r="W365" s="1" t="s">
        <v>37</v>
      </c>
      <c r="X365" s="1" t="s">
        <v>1285</v>
      </c>
      <c r="Y365" s="2">
        <v>0</v>
      </c>
      <c r="Z365" s="2">
        <v>78.96</v>
      </c>
      <c r="AA365" s="2">
        <v>118.44</v>
      </c>
      <c r="AB365" s="2">
        <v>39.48</v>
      </c>
      <c r="AC365" s="2">
        <v>218.41</v>
      </c>
      <c r="AD365" s="2">
        <v>151.15</v>
      </c>
      <c r="AE365" s="2">
        <v>92.98</v>
      </c>
      <c r="AF365" s="2">
        <v>46.49</v>
      </c>
      <c r="AG365" s="2">
        <v>0</v>
      </c>
      <c r="AH365" s="2">
        <v>0</v>
      </c>
      <c r="AI365" s="2">
        <v>0</v>
      </c>
      <c r="AJ365" s="2">
        <v>-745.91</v>
      </c>
      <c r="AK365" s="2">
        <v>0</v>
      </c>
      <c r="AL365" s="2">
        <v>0</v>
      </c>
      <c r="AM365" s="2">
        <v>0</v>
      </c>
      <c r="AN365" s="2">
        <v>0</v>
      </c>
      <c r="AO365" s="2">
        <v>0</v>
      </c>
      <c r="AP365" s="2">
        <v>0</v>
      </c>
      <c r="AQ365" s="2">
        <v>0</v>
      </c>
      <c r="AR365" s="2">
        <v>0</v>
      </c>
      <c r="AS365" s="2">
        <v>0</v>
      </c>
      <c r="AT365" s="2">
        <v>0</v>
      </c>
      <c r="AU365" s="2">
        <v>0</v>
      </c>
      <c r="AV365" s="2">
        <v>0</v>
      </c>
      <c r="AW365" s="1">
        <v>361</v>
      </c>
    </row>
    <row r="366" spans="1:49" ht="12.75">
      <c r="A366" s="5">
        <v>4010</v>
      </c>
      <c r="B366" s="2" t="s">
        <v>1286</v>
      </c>
      <c r="C366" s="305">
        <v>0</v>
      </c>
      <c r="D366" s="305">
        <v>0</v>
      </c>
      <c r="E366" s="305">
        <v>6131.55</v>
      </c>
      <c r="F366" s="305">
        <v>0</v>
      </c>
      <c r="G366" s="305">
        <v>0</v>
      </c>
      <c r="H366" s="305">
        <v>46298.65</v>
      </c>
      <c r="I366" s="305">
        <v>0</v>
      </c>
      <c r="J366" s="1" t="s">
        <v>772</v>
      </c>
      <c r="K366" s="3" t="s">
        <v>982</v>
      </c>
      <c r="L366" s="365"/>
      <c r="M366" s="2">
        <v>0</v>
      </c>
      <c r="N366" s="311">
        <v>410</v>
      </c>
      <c r="O366" s="310" t="s">
        <v>1190</v>
      </c>
      <c r="P366" s="309">
        <v>40</v>
      </c>
      <c r="Q366" s="60" t="s">
        <v>456</v>
      </c>
      <c r="R366" s="309">
        <v>5021</v>
      </c>
      <c r="S366" s="60" t="s">
        <v>201</v>
      </c>
      <c r="T366" s="61">
        <v>130</v>
      </c>
      <c r="U366" s="60" t="s">
        <v>502</v>
      </c>
      <c r="V366" s="1">
        <v>3</v>
      </c>
      <c r="W366" s="1" t="s">
        <v>37</v>
      </c>
      <c r="X366" s="1" t="s">
        <v>1215</v>
      </c>
      <c r="Y366" s="2">
        <v>6733.28</v>
      </c>
      <c r="Z366" s="2">
        <v>4170.21</v>
      </c>
      <c r="AA366" s="2">
        <v>2841.77</v>
      </c>
      <c r="AB366" s="2">
        <v>3144.97</v>
      </c>
      <c r="AC366" s="2">
        <v>4375.07</v>
      </c>
      <c r="AD366" s="2">
        <v>9463.45</v>
      </c>
      <c r="AE366" s="2">
        <v>4120.02</v>
      </c>
      <c r="AF366" s="2">
        <v>3032.76</v>
      </c>
      <c r="AG366" s="2">
        <v>2285.57</v>
      </c>
      <c r="AH366" s="2">
        <v>0</v>
      </c>
      <c r="AI366" s="2">
        <v>0</v>
      </c>
      <c r="AJ366" s="2">
        <v>6131.55</v>
      </c>
      <c r="AK366" s="2">
        <v>0</v>
      </c>
      <c r="AL366" s="2">
        <v>0</v>
      </c>
      <c r="AM366" s="2">
        <v>0</v>
      </c>
      <c r="AN366" s="2">
        <v>0</v>
      </c>
      <c r="AO366" s="2">
        <v>0</v>
      </c>
      <c r="AP366" s="2">
        <v>0</v>
      </c>
      <c r="AQ366" s="2">
        <v>0</v>
      </c>
      <c r="AR366" s="2">
        <v>0</v>
      </c>
      <c r="AS366" s="2">
        <v>0</v>
      </c>
      <c r="AT366" s="2">
        <v>0</v>
      </c>
      <c r="AU366" s="2">
        <v>0</v>
      </c>
      <c r="AV366" s="2">
        <v>0</v>
      </c>
      <c r="AW366" s="1">
        <v>362</v>
      </c>
    </row>
    <row r="367" spans="1:49" ht="12.75">
      <c r="A367" s="5">
        <v>4010</v>
      </c>
      <c r="B367" s="2" t="s">
        <v>1287</v>
      </c>
      <c r="C367" s="305">
        <v>21045.33</v>
      </c>
      <c r="D367" s="305">
        <v>0</v>
      </c>
      <c r="E367" s="305">
        <v>-49793.89</v>
      </c>
      <c r="F367" s="305">
        <v>83009.33</v>
      </c>
      <c r="G367" s="305">
        <v>0</v>
      </c>
      <c r="H367" s="305">
        <v>-33061.6</v>
      </c>
      <c r="I367" s="305">
        <v>0</v>
      </c>
      <c r="J367" s="1" t="s">
        <v>774</v>
      </c>
      <c r="K367" s="3" t="s">
        <v>982</v>
      </c>
      <c r="L367" s="365"/>
      <c r="M367" s="2">
        <v>83009.33</v>
      </c>
      <c r="N367" s="311">
        <v>410</v>
      </c>
      <c r="O367" s="310" t="s">
        <v>1190</v>
      </c>
      <c r="P367" s="309">
        <v>40</v>
      </c>
      <c r="Q367" s="60" t="s">
        <v>456</v>
      </c>
      <c r="R367" s="309">
        <v>5011</v>
      </c>
      <c r="S367" s="60" t="s">
        <v>209</v>
      </c>
      <c r="T367" s="61">
        <v>210</v>
      </c>
      <c r="U367" s="60" t="s">
        <v>500</v>
      </c>
      <c r="V367" s="1">
        <v>3</v>
      </c>
      <c r="W367" s="1" t="s">
        <v>37</v>
      </c>
      <c r="X367" s="1" t="s">
        <v>1199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0</v>
      </c>
      <c r="AF367" s="2">
        <v>0</v>
      </c>
      <c r="AG367" s="2">
        <v>0</v>
      </c>
      <c r="AH367" s="2">
        <v>18803.66</v>
      </c>
      <c r="AI367" s="2">
        <v>-2071.37</v>
      </c>
      <c r="AJ367" s="2">
        <v>-49793.89</v>
      </c>
      <c r="AK367" s="2">
        <v>4793.2</v>
      </c>
      <c r="AL367" s="2">
        <v>1352.15</v>
      </c>
      <c r="AM367" s="2">
        <v>5983.4</v>
      </c>
      <c r="AN367" s="2">
        <v>11314.51</v>
      </c>
      <c r="AO367" s="2">
        <v>6492.42</v>
      </c>
      <c r="AP367" s="2">
        <v>2525.68</v>
      </c>
      <c r="AQ367" s="2">
        <v>1776.75</v>
      </c>
      <c r="AR367" s="2">
        <v>2176.82</v>
      </c>
      <c r="AS367" s="2">
        <v>3407.71</v>
      </c>
      <c r="AT367" s="2">
        <v>7208</v>
      </c>
      <c r="AU367" s="2">
        <v>14933.36</v>
      </c>
      <c r="AV367" s="2">
        <v>21045.33</v>
      </c>
      <c r="AW367" s="1">
        <v>363</v>
      </c>
    </row>
    <row r="368" spans="1:49" ht="12.75">
      <c r="A368" s="5">
        <v>4010</v>
      </c>
      <c r="B368" s="2" t="s">
        <v>1288</v>
      </c>
      <c r="C368" s="305">
        <v>-34155.14</v>
      </c>
      <c r="D368" s="305">
        <v>0</v>
      </c>
      <c r="E368" s="305">
        <v>-17000.13</v>
      </c>
      <c r="F368" s="305">
        <v>126442.09</v>
      </c>
      <c r="G368" s="305">
        <v>0</v>
      </c>
      <c r="H368" s="305">
        <v>0</v>
      </c>
      <c r="I368" s="305">
        <v>0</v>
      </c>
      <c r="J368" s="1" t="s">
        <v>776</v>
      </c>
      <c r="K368" s="3" t="s">
        <v>982</v>
      </c>
      <c r="L368" s="365"/>
      <c r="M368" s="2">
        <v>126442.09</v>
      </c>
      <c r="N368" s="311">
        <v>410</v>
      </c>
      <c r="O368" s="310" t="s">
        <v>1190</v>
      </c>
      <c r="P368" s="309">
        <v>40</v>
      </c>
      <c r="Q368" s="60" t="s">
        <v>456</v>
      </c>
      <c r="R368" s="309">
        <v>5011</v>
      </c>
      <c r="S368" s="60" t="s">
        <v>209</v>
      </c>
      <c r="T368" s="61">
        <v>210</v>
      </c>
      <c r="U368" s="60" t="s">
        <v>500</v>
      </c>
      <c r="V368" s="1">
        <v>3</v>
      </c>
      <c r="W368" s="1" t="s">
        <v>37</v>
      </c>
      <c r="X368" s="1" t="s">
        <v>1199</v>
      </c>
      <c r="Y368" s="2">
        <v>0</v>
      </c>
      <c r="Z368" s="2">
        <v>0</v>
      </c>
      <c r="AA368" s="2">
        <v>0</v>
      </c>
      <c r="AB368" s="2">
        <v>0</v>
      </c>
      <c r="AC368" s="2">
        <v>0</v>
      </c>
      <c r="AD368" s="2">
        <v>0</v>
      </c>
      <c r="AE368" s="2">
        <v>0</v>
      </c>
      <c r="AF368" s="2">
        <v>0</v>
      </c>
      <c r="AG368" s="2">
        <v>0</v>
      </c>
      <c r="AH368" s="2">
        <v>6048.76</v>
      </c>
      <c r="AI368" s="2">
        <v>10951.37</v>
      </c>
      <c r="AJ368" s="2">
        <v>-17000.13</v>
      </c>
      <c r="AK368" s="2">
        <v>17824.14</v>
      </c>
      <c r="AL368" s="2">
        <v>17295.14</v>
      </c>
      <c r="AM368" s="2">
        <v>24089.1</v>
      </c>
      <c r="AN368" s="2">
        <v>23674.72</v>
      </c>
      <c r="AO368" s="2">
        <v>11417.93</v>
      </c>
      <c r="AP368" s="2">
        <v>10593.27</v>
      </c>
      <c r="AQ368" s="2">
        <v>10935.04</v>
      </c>
      <c r="AR368" s="2">
        <v>10612.75</v>
      </c>
      <c r="AS368" s="2">
        <v>10433.71</v>
      </c>
      <c r="AT368" s="2">
        <v>9086.13</v>
      </c>
      <c r="AU368" s="2">
        <v>14635.3</v>
      </c>
      <c r="AV368" s="2">
        <v>-34155.14</v>
      </c>
      <c r="AW368" s="1">
        <v>364</v>
      </c>
    </row>
    <row r="369" spans="1:49" ht="12.75">
      <c r="A369" s="5">
        <v>4010</v>
      </c>
      <c r="B369" s="2" t="s">
        <v>1289</v>
      </c>
      <c r="C369" s="305">
        <v>-9585</v>
      </c>
      <c r="D369" s="305">
        <v>0</v>
      </c>
      <c r="E369" s="305">
        <v>-8254.4</v>
      </c>
      <c r="F369" s="305">
        <v>42936.4</v>
      </c>
      <c r="G369" s="305">
        <v>0</v>
      </c>
      <c r="H369" s="305">
        <v>0</v>
      </c>
      <c r="I369" s="305">
        <v>0</v>
      </c>
      <c r="J369" s="1" t="s">
        <v>778</v>
      </c>
      <c r="K369" s="3" t="s">
        <v>982</v>
      </c>
      <c r="L369" s="365"/>
      <c r="M369" s="2">
        <v>42936.4</v>
      </c>
      <c r="N369" s="311">
        <v>410</v>
      </c>
      <c r="O369" s="310" t="s">
        <v>1190</v>
      </c>
      <c r="P369" s="309">
        <v>40</v>
      </c>
      <c r="Q369" s="60" t="s">
        <v>456</v>
      </c>
      <c r="R369" s="309">
        <v>5012</v>
      </c>
      <c r="S369" s="60" t="s">
        <v>212</v>
      </c>
      <c r="T369" s="61">
        <v>211</v>
      </c>
      <c r="U369" s="60" t="s">
        <v>506</v>
      </c>
      <c r="V369" s="1">
        <v>3</v>
      </c>
      <c r="W369" s="1" t="s">
        <v>37</v>
      </c>
      <c r="X369" s="1" t="s">
        <v>1197</v>
      </c>
      <c r="Y369" s="2">
        <v>0</v>
      </c>
      <c r="Z369" s="2">
        <v>0</v>
      </c>
      <c r="AA369" s="2">
        <v>0</v>
      </c>
      <c r="AB369" s="2">
        <v>0</v>
      </c>
      <c r="AC369" s="2">
        <v>0</v>
      </c>
      <c r="AD369" s="2">
        <v>0</v>
      </c>
      <c r="AE369" s="2">
        <v>0</v>
      </c>
      <c r="AF369" s="2">
        <v>0</v>
      </c>
      <c r="AG369" s="2">
        <v>0</v>
      </c>
      <c r="AH369" s="2">
        <v>2844.8</v>
      </c>
      <c r="AI369" s="2">
        <v>5409.6</v>
      </c>
      <c r="AJ369" s="2">
        <v>-8254.4</v>
      </c>
      <c r="AK369" s="2">
        <v>5331.2</v>
      </c>
      <c r="AL369" s="2">
        <v>3057.6</v>
      </c>
      <c r="AM369" s="2">
        <v>9916.6</v>
      </c>
      <c r="AN369" s="2">
        <v>9736</v>
      </c>
      <c r="AO369" s="2">
        <v>4980</v>
      </c>
      <c r="AP369" s="2">
        <v>4785</v>
      </c>
      <c r="AQ369" s="2">
        <v>3285</v>
      </c>
      <c r="AR369" s="2">
        <v>1845</v>
      </c>
      <c r="AS369" s="2">
        <v>3315</v>
      </c>
      <c r="AT369" s="2">
        <v>2700</v>
      </c>
      <c r="AU369" s="2">
        <v>3570</v>
      </c>
      <c r="AV369" s="2">
        <v>-9585</v>
      </c>
      <c r="AW369" s="1">
        <v>365</v>
      </c>
    </row>
    <row r="370" spans="1:49" ht="12.75">
      <c r="A370" s="5">
        <v>4010</v>
      </c>
      <c r="B370" s="2" t="s">
        <v>1290</v>
      </c>
      <c r="C370" s="305">
        <v>0</v>
      </c>
      <c r="D370" s="305">
        <v>0</v>
      </c>
      <c r="E370" s="305">
        <v>252.96</v>
      </c>
      <c r="F370" s="305">
        <v>0</v>
      </c>
      <c r="G370" s="305">
        <v>0</v>
      </c>
      <c r="H370" s="305">
        <v>1298.28</v>
      </c>
      <c r="I370" s="305">
        <v>0</v>
      </c>
      <c r="J370" s="1" t="s">
        <v>1048</v>
      </c>
      <c r="K370" s="3" t="s">
        <v>982</v>
      </c>
      <c r="L370" s="365"/>
      <c r="M370" s="2">
        <v>0</v>
      </c>
      <c r="N370" s="311">
        <v>410</v>
      </c>
      <c r="O370" s="310" t="s">
        <v>1190</v>
      </c>
      <c r="P370" s="309">
        <v>40</v>
      </c>
      <c r="Q370" s="60" t="s">
        <v>456</v>
      </c>
      <c r="R370" s="309">
        <v>5021</v>
      </c>
      <c r="S370" s="60" t="s">
        <v>201</v>
      </c>
      <c r="T370" s="61">
        <v>120</v>
      </c>
      <c r="U370" s="60" t="s">
        <v>382</v>
      </c>
      <c r="V370" s="1">
        <v>3</v>
      </c>
      <c r="W370" s="1" t="s">
        <v>37</v>
      </c>
      <c r="X370" s="1" t="s">
        <v>1291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584.16</v>
      </c>
      <c r="AE370" s="2">
        <v>0</v>
      </c>
      <c r="AF370" s="2">
        <v>0</v>
      </c>
      <c r="AG370" s="2">
        <v>461.16</v>
      </c>
      <c r="AH370" s="2">
        <v>0</v>
      </c>
      <c r="AI370" s="2">
        <v>0</v>
      </c>
      <c r="AJ370" s="2">
        <v>252.96</v>
      </c>
      <c r="AK370" s="2">
        <v>0</v>
      </c>
      <c r="AL370" s="2">
        <v>0</v>
      </c>
      <c r="AM370" s="2">
        <v>0</v>
      </c>
      <c r="AN370" s="2">
        <v>0</v>
      </c>
      <c r="AO370" s="2">
        <v>0</v>
      </c>
      <c r="AP370" s="2">
        <v>0</v>
      </c>
      <c r="AQ370" s="2">
        <v>0</v>
      </c>
      <c r="AR370" s="2">
        <v>0</v>
      </c>
      <c r="AS370" s="2">
        <v>0</v>
      </c>
      <c r="AT370" s="2">
        <v>0</v>
      </c>
      <c r="AU370" s="2">
        <v>0</v>
      </c>
      <c r="AV370" s="2">
        <v>0</v>
      </c>
      <c r="AW370" s="1">
        <v>366</v>
      </c>
    </row>
    <row r="371" spans="1:49" ht="12.75">
      <c r="A371" s="5">
        <v>4010</v>
      </c>
      <c r="B371" s="2" t="s">
        <v>1292</v>
      </c>
      <c r="C371" s="305">
        <v>0</v>
      </c>
      <c r="D371" s="305">
        <v>0</v>
      </c>
      <c r="E371" s="305">
        <v>8722.33</v>
      </c>
      <c r="F371" s="305">
        <v>0</v>
      </c>
      <c r="G371" s="305">
        <v>0</v>
      </c>
      <c r="H371" s="305">
        <v>26517.11</v>
      </c>
      <c r="I371" s="305">
        <v>0</v>
      </c>
      <c r="J371" s="1" t="s">
        <v>780</v>
      </c>
      <c r="K371" s="3" t="s">
        <v>982</v>
      </c>
      <c r="L371" s="365"/>
      <c r="M371" s="2">
        <v>0</v>
      </c>
      <c r="N371" s="311">
        <v>410</v>
      </c>
      <c r="O371" s="310" t="s">
        <v>1190</v>
      </c>
      <c r="P371" s="309">
        <v>40</v>
      </c>
      <c r="Q371" s="60" t="s">
        <v>456</v>
      </c>
      <c r="R371" s="309">
        <v>5021</v>
      </c>
      <c r="S371" s="60" t="s">
        <v>201</v>
      </c>
      <c r="T371" s="61">
        <v>120</v>
      </c>
      <c r="U371" s="60" t="s">
        <v>382</v>
      </c>
      <c r="V371" s="1">
        <v>3</v>
      </c>
      <c r="W371" s="1" t="s">
        <v>37</v>
      </c>
      <c r="X371" s="1" t="s">
        <v>1293</v>
      </c>
      <c r="Y371" s="2">
        <v>46.95</v>
      </c>
      <c r="Z371" s="2">
        <v>7.83</v>
      </c>
      <c r="AA371" s="2">
        <v>0</v>
      </c>
      <c r="AB371" s="2">
        <v>0</v>
      </c>
      <c r="AC371" s="2">
        <v>0</v>
      </c>
      <c r="AD371" s="2">
        <v>17740</v>
      </c>
      <c r="AE371" s="2">
        <v>0</v>
      </c>
      <c r="AF371" s="2">
        <v>0</v>
      </c>
      <c r="AG371" s="2">
        <v>0</v>
      </c>
      <c r="AH371" s="2">
        <v>0</v>
      </c>
      <c r="AI371" s="2">
        <v>0</v>
      </c>
      <c r="AJ371" s="2">
        <v>8722.33</v>
      </c>
      <c r="AK371" s="2">
        <v>0</v>
      </c>
      <c r="AL371" s="2">
        <v>0</v>
      </c>
      <c r="AM371" s="2">
        <v>0</v>
      </c>
      <c r="AN371" s="2">
        <v>0</v>
      </c>
      <c r="AO371" s="2">
        <v>0</v>
      </c>
      <c r="AP371" s="2">
        <v>0</v>
      </c>
      <c r="AQ371" s="2">
        <v>0</v>
      </c>
      <c r="AR371" s="2">
        <v>0</v>
      </c>
      <c r="AS371" s="2">
        <v>0</v>
      </c>
      <c r="AT371" s="2">
        <v>0</v>
      </c>
      <c r="AU371" s="2">
        <v>0</v>
      </c>
      <c r="AV371" s="2">
        <v>0</v>
      </c>
      <c r="AW371" s="1">
        <v>367</v>
      </c>
    </row>
    <row r="372" spans="1:49" ht="12.75">
      <c r="A372" s="5">
        <v>4010</v>
      </c>
      <c r="B372" s="2" t="s">
        <v>1294</v>
      </c>
      <c r="C372" s="305">
        <v>0</v>
      </c>
      <c r="D372" s="305">
        <v>0</v>
      </c>
      <c r="E372" s="305">
        <v>0</v>
      </c>
      <c r="F372" s="305">
        <v>0</v>
      </c>
      <c r="G372" s="305">
        <v>0</v>
      </c>
      <c r="H372" s="305">
        <v>3458.93</v>
      </c>
      <c r="I372" s="305">
        <v>0</v>
      </c>
      <c r="J372" s="1" t="s">
        <v>1295</v>
      </c>
      <c r="K372" s="3" t="s">
        <v>982</v>
      </c>
      <c r="L372" s="365"/>
      <c r="M372" s="2">
        <v>0</v>
      </c>
      <c r="N372" s="311">
        <v>410</v>
      </c>
      <c r="O372" s="310" t="s">
        <v>1190</v>
      </c>
      <c r="P372" s="309">
        <v>40</v>
      </c>
      <c r="Q372" s="60" t="s">
        <v>456</v>
      </c>
      <c r="R372" s="309">
        <v>5021</v>
      </c>
      <c r="S372" s="60" t="s">
        <v>201</v>
      </c>
      <c r="T372" s="61">
        <v>120</v>
      </c>
      <c r="U372" s="60" t="s">
        <v>382</v>
      </c>
      <c r="V372" s="1">
        <v>3</v>
      </c>
      <c r="W372" s="1" t="s">
        <v>37</v>
      </c>
      <c r="X372" s="1" t="s">
        <v>1296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0</v>
      </c>
      <c r="AF372" s="2">
        <v>0</v>
      </c>
      <c r="AG372" s="2">
        <v>3458.93</v>
      </c>
      <c r="AH372" s="2">
        <v>0</v>
      </c>
      <c r="AI372" s="2">
        <v>0</v>
      </c>
      <c r="AJ372" s="2">
        <v>0</v>
      </c>
      <c r="AK372" s="2">
        <v>0</v>
      </c>
      <c r="AL372" s="2">
        <v>0</v>
      </c>
      <c r="AM372" s="2">
        <v>0</v>
      </c>
      <c r="AN372" s="2">
        <v>0</v>
      </c>
      <c r="AO372" s="2">
        <v>0</v>
      </c>
      <c r="AP372" s="2">
        <v>0</v>
      </c>
      <c r="AQ372" s="2">
        <v>0</v>
      </c>
      <c r="AR372" s="2">
        <v>0</v>
      </c>
      <c r="AS372" s="2">
        <v>0</v>
      </c>
      <c r="AT372" s="2">
        <v>0</v>
      </c>
      <c r="AU372" s="2">
        <v>0</v>
      </c>
      <c r="AV372" s="2">
        <v>0</v>
      </c>
      <c r="AW372" s="1">
        <v>368</v>
      </c>
    </row>
    <row r="373" spans="1:49" ht="12.75">
      <c r="A373" s="5">
        <v>4010</v>
      </c>
      <c r="B373" s="2" t="s">
        <v>1297</v>
      </c>
      <c r="C373" s="305">
        <v>0</v>
      </c>
      <c r="D373" s="305">
        <v>0</v>
      </c>
      <c r="E373" s="305">
        <v>88124.96</v>
      </c>
      <c r="F373" s="305">
        <v>0</v>
      </c>
      <c r="G373" s="305">
        <v>0</v>
      </c>
      <c r="H373" s="305">
        <v>707983.47</v>
      </c>
      <c r="I373" s="305">
        <v>0</v>
      </c>
      <c r="J373" s="1" t="s">
        <v>781</v>
      </c>
      <c r="K373" s="3" t="s">
        <v>982</v>
      </c>
      <c r="L373" s="365"/>
      <c r="M373" s="2">
        <v>0</v>
      </c>
      <c r="N373" s="311">
        <v>410</v>
      </c>
      <c r="O373" s="310" t="s">
        <v>1190</v>
      </c>
      <c r="P373" s="309">
        <v>40</v>
      </c>
      <c r="Q373" s="60" t="s">
        <v>456</v>
      </c>
      <c r="R373" s="309">
        <v>5022</v>
      </c>
      <c r="S373" s="60" t="s">
        <v>202</v>
      </c>
      <c r="T373" s="61">
        <v>180</v>
      </c>
      <c r="U373" s="60" t="s">
        <v>385</v>
      </c>
      <c r="V373" s="1">
        <v>3</v>
      </c>
      <c r="W373" s="1" t="s">
        <v>37</v>
      </c>
      <c r="X373" s="1" t="s">
        <v>1249</v>
      </c>
      <c r="Y373" s="2">
        <v>50372.49</v>
      </c>
      <c r="Z373" s="2">
        <v>43035.6</v>
      </c>
      <c r="AA373" s="2">
        <v>56443.24</v>
      </c>
      <c r="AB373" s="2">
        <v>69842.88</v>
      </c>
      <c r="AC373" s="2">
        <v>80572.4</v>
      </c>
      <c r="AD373" s="2">
        <v>153253.79</v>
      </c>
      <c r="AE373" s="2">
        <v>61142.33</v>
      </c>
      <c r="AF373" s="2">
        <v>57401.09</v>
      </c>
      <c r="AG373" s="2">
        <v>47794.69</v>
      </c>
      <c r="AH373" s="2">
        <v>0</v>
      </c>
      <c r="AI373" s="2">
        <v>0</v>
      </c>
      <c r="AJ373" s="2">
        <v>88124.96</v>
      </c>
      <c r="AK373" s="2">
        <v>0</v>
      </c>
      <c r="AL373" s="2">
        <v>0</v>
      </c>
      <c r="AM373" s="2">
        <v>0</v>
      </c>
      <c r="AN373" s="2">
        <v>0</v>
      </c>
      <c r="AO373" s="2">
        <v>0</v>
      </c>
      <c r="AP373" s="2">
        <v>0</v>
      </c>
      <c r="AQ373" s="2">
        <v>0</v>
      </c>
      <c r="AR373" s="2">
        <v>0</v>
      </c>
      <c r="AS373" s="2">
        <v>0</v>
      </c>
      <c r="AT373" s="2">
        <v>0</v>
      </c>
      <c r="AU373" s="2">
        <v>0</v>
      </c>
      <c r="AV373" s="2">
        <v>0</v>
      </c>
      <c r="AW373" s="1">
        <v>369</v>
      </c>
    </row>
    <row r="374" spans="1:49" ht="12.75">
      <c r="A374" s="5">
        <v>4010</v>
      </c>
      <c r="B374" s="2" t="s">
        <v>1298</v>
      </c>
      <c r="C374" s="305">
        <v>0</v>
      </c>
      <c r="D374" s="305">
        <v>0</v>
      </c>
      <c r="E374" s="305">
        <v>5611.56</v>
      </c>
      <c r="F374" s="305">
        <v>0</v>
      </c>
      <c r="G374" s="305">
        <v>0</v>
      </c>
      <c r="H374" s="305">
        <v>33448.15</v>
      </c>
      <c r="I374" s="305">
        <v>0</v>
      </c>
      <c r="J374" s="1" t="s">
        <v>782</v>
      </c>
      <c r="K374" s="3" t="s">
        <v>982</v>
      </c>
      <c r="L374" s="365"/>
      <c r="M374" s="2">
        <v>0</v>
      </c>
      <c r="N374" s="311">
        <v>410</v>
      </c>
      <c r="O374" s="310" t="s">
        <v>1190</v>
      </c>
      <c r="P374" s="309">
        <v>40</v>
      </c>
      <c r="Q374" s="60" t="s">
        <v>456</v>
      </c>
      <c r="R374" s="309">
        <v>5022</v>
      </c>
      <c r="S374" s="60" t="s">
        <v>202</v>
      </c>
      <c r="T374" s="61">
        <v>180</v>
      </c>
      <c r="U374" s="60" t="s">
        <v>385</v>
      </c>
      <c r="V374" s="1">
        <v>3</v>
      </c>
      <c r="W374" s="1" t="s">
        <v>37</v>
      </c>
      <c r="X374" s="1" t="s">
        <v>1253</v>
      </c>
      <c r="Y374" s="2">
        <v>2343.6</v>
      </c>
      <c r="Z374" s="2">
        <v>2457.28</v>
      </c>
      <c r="AA374" s="2">
        <v>3199.28</v>
      </c>
      <c r="AB374" s="2">
        <v>3158.4</v>
      </c>
      <c r="AC374" s="2">
        <v>3322.48</v>
      </c>
      <c r="AD374" s="2">
        <v>2286.01</v>
      </c>
      <c r="AE374" s="2">
        <v>2807.84</v>
      </c>
      <c r="AF374" s="2">
        <v>4183.06</v>
      </c>
      <c r="AG374" s="2">
        <v>4078.64</v>
      </c>
      <c r="AH374" s="2">
        <v>0</v>
      </c>
      <c r="AI374" s="2">
        <v>0</v>
      </c>
      <c r="AJ374" s="2">
        <v>5611.56</v>
      </c>
      <c r="AK374" s="2">
        <v>0</v>
      </c>
      <c r="AL374" s="2">
        <v>0</v>
      </c>
      <c r="AM374" s="2">
        <v>0</v>
      </c>
      <c r="AN374" s="2">
        <v>0</v>
      </c>
      <c r="AO374" s="2">
        <v>0</v>
      </c>
      <c r="AP374" s="2">
        <v>0</v>
      </c>
      <c r="AQ374" s="2">
        <v>0</v>
      </c>
      <c r="AR374" s="2">
        <v>0</v>
      </c>
      <c r="AS374" s="2">
        <v>0</v>
      </c>
      <c r="AT374" s="2">
        <v>0</v>
      </c>
      <c r="AU374" s="2">
        <v>0</v>
      </c>
      <c r="AV374" s="2">
        <v>0</v>
      </c>
      <c r="AW374" s="1">
        <v>370</v>
      </c>
    </row>
    <row r="375" spans="1:49" ht="12.75">
      <c r="A375" s="5">
        <v>4010</v>
      </c>
      <c r="B375" s="2" t="s">
        <v>1299</v>
      </c>
      <c r="C375" s="305">
        <v>0</v>
      </c>
      <c r="D375" s="305">
        <v>0</v>
      </c>
      <c r="E375" s="305">
        <v>25838.73</v>
      </c>
      <c r="F375" s="305">
        <v>0</v>
      </c>
      <c r="G375" s="305">
        <v>0</v>
      </c>
      <c r="H375" s="305">
        <v>216904.03</v>
      </c>
      <c r="I375" s="305">
        <v>0</v>
      </c>
      <c r="J375" s="1" t="s">
        <v>783</v>
      </c>
      <c r="K375" s="3" t="s">
        <v>982</v>
      </c>
      <c r="L375" s="365"/>
      <c r="M375" s="2">
        <v>0</v>
      </c>
      <c r="N375" s="311">
        <v>410</v>
      </c>
      <c r="O375" s="310" t="s">
        <v>1190</v>
      </c>
      <c r="P375" s="309">
        <v>40</v>
      </c>
      <c r="Q375" s="60" t="s">
        <v>456</v>
      </c>
      <c r="R375" s="309">
        <v>5022</v>
      </c>
      <c r="S375" s="60" t="s">
        <v>202</v>
      </c>
      <c r="T375" s="61">
        <v>180</v>
      </c>
      <c r="U375" s="60" t="s">
        <v>385</v>
      </c>
      <c r="V375" s="1">
        <v>3</v>
      </c>
      <c r="W375" s="1" t="s">
        <v>37</v>
      </c>
      <c r="X375" s="1" t="s">
        <v>1253</v>
      </c>
      <c r="Y375" s="2">
        <v>19710.88</v>
      </c>
      <c r="Z375" s="2">
        <v>15046.64</v>
      </c>
      <c r="AA375" s="2">
        <v>15942.64</v>
      </c>
      <c r="AB375" s="2">
        <v>25727.52</v>
      </c>
      <c r="AC375" s="2">
        <v>27854.4</v>
      </c>
      <c r="AD375" s="2">
        <v>32525.05</v>
      </c>
      <c r="AE375" s="2">
        <v>15897.28</v>
      </c>
      <c r="AF375" s="2">
        <v>23717.12</v>
      </c>
      <c r="AG375" s="2">
        <v>14643.77</v>
      </c>
      <c r="AH375" s="2">
        <v>0</v>
      </c>
      <c r="AI375" s="2">
        <v>0</v>
      </c>
      <c r="AJ375" s="2">
        <v>25838.73</v>
      </c>
      <c r="AK375" s="2">
        <v>0</v>
      </c>
      <c r="AL375" s="2">
        <v>0</v>
      </c>
      <c r="AM375" s="2">
        <v>0</v>
      </c>
      <c r="AN375" s="2">
        <v>0</v>
      </c>
      <c r="AO375" s="2">
        <v>0</v>
      </c>
      <c r="AP375" s="2">
        <v>0</v>
      </c>
      <c r="AQ375" s="2">
        <v>0</v>
      </c>
      <c r="AR375" s="2">
        <v>0</v>
      </c>
      <c r="AS375" s="2">
        <v>0</v>
      </c>
      <c r="AT375" s="2">
        <v>0</v>
      </c>
      <c r="AU375" s="2">
        <v>0</v>
      </c>
      <c r="AV375" s="2">
        <v>0</v>
      </c>
      <c r="AW375" s="1">
        <v>371</v>
      </c>
    </row>
    <row r="376" spans="1:49" ht="12.75">
      <c r="A376" s="5">
        <v>4010</v>
      </c>
      <c r="B376" s="2" t="s">
        <v>1300</v>
      </c>
      <c r="C376" s="305">
        <v>0</v>
      </c>
      <c r="D376" s="305">
        <v>0</v>
      </c>
      <c r="E376" s="305">
        <v>70649.17</v>
      </c>
      <c r="F376" s="305">
        <v>0</v>
      </c>
      <c r="G376" s="305">
        <v>0</v>
      </c>
      <c r="H376" s="305">
        <v>472885.27</v>
      </c>
      <c r="I376" s="305">
        <v>0</v>
      </c>
      <c r="J376" s="1" t="s">
        <v>784</v>
      </c>
      <c r="K376" s="3" t="s">
        <v>982</v>
      </c>
      <c r="L376" s="365"/>
      <c r="M376" s="2">
        <v>0</v>
      </c>
      <c r="N376" s="311">
        <v>410</v>
      </c>
      <c r="O376" s="310" t="s">
        <v>1190</v>
      </c>
      <c r="P376" s="309">
        <v>40</v>
      </c>
      <c r="Q376" s="60" t="s">
        <v>456</v>
      </c>
      <c r="R376" s="309">
        <v>5022</v>
      </c>
      <c r="S376" s="60" t="s">
        <v>202</v>
      </c>
      <c r="T376" s="61">
        <v>180</v>
      </c>
      <c r="U376" s="60" t="s">
        <v>385</v>
      </c>
      <c r="V376" s="1">
        <v>3</v>
      </c>
      <c r="W376" s="1" t="s">
        <v>37</v>
      </c>
      <c r="X376" s="1" t="s">
        <v>1251</v>
      </c>
      <c r="Y376" s="2">
        <v>51363.17</v>
      </c>
      <c r="Z376" s="2">
        <v>38380.89</v>
      </c>
      <c r="AA376" s="2">
        <v>47600.68</v>
      </c>
      <c r="AB376" s="2">
        <v>58401.74</v>
      </c>
      <c r="AC376" s="2">
        <v>72733.54</v>
      </c>
      <c r="AD376" s="2">
        <v>5645.9</v>
      </c>
      <c r="AE376" s="2">
        <v>48491.86</v>
      </c>
      <c r="AF376" s="2">
        <v>40423.89</v>
      </c>
      <c r="AG376" s="2">
        <v>39194.43</v>
      </c>
      <c r="AH376" s="2">
        <v>0</v>
      </c>
      <c r="AI376" s="2">
        <v>0</v>
      </c>
      <c r="AJ376" s="2">
        <v>70649.17</v>
      </c>
      <c r="AK376" s="2">
        <v>0</v>
      </c>
      <c r="AL376" s="2">
        <v>0</v>
      </c>
      <c r="AM376" s="2">
        <v>0</v>
      </c>
      <c r="AN376" s="2">
        <v>0</v>
      </c>
      <c r="AO376" s="2">
        <v>0</v>
      </c>
      <c r="AP376" s="2">
        <v>0</v>
      </c>
      <c r="AQ376" s="2">
        <v>0</v>
      </c>
      <c r="AR376" s="2">
        <v>0</v>
      </c>
      <c r="AS376" s="2">
        <v>0</v>
      </c>
      <c r="AT376" s="2">
        <v>0</v>
      </c>
      <c r="AU376" s="2">
        <v>0</v>
      </c>
      <c r="AV376" s="2">
        <v>0</v>
      </c>
      <c r="AW376" s="1">
        <v>372</v>
      </c>
    </row>
    <row r="377" spans="1:49" ht="12.75">
      <c r="A377" s="5">
        <v>4010</v>
      </c>
      <c r="B377" s="2" t="s">
        <v>1301</v>
      </c>
      <c r="C377" s="305">
        <v>0</v>
      </c>
      <c r="D377" s="305">
        <v>0</v>
      </c>
      <c r="E377" s="305">
        <v>3408.6</v>
      </c>
      <c r="F377" s="305">
        <v>0</v>
      </c>
      <c r="G377" s="305">
        <v>0</v>
      </c>
      <c r="H377" s="305">
        <v>6613.3</v>
      </c>
      <c r="I377" s="305">
        <v>0</v>
      </c>
      <c r="J377" s="1" t="s">
        <v>785</v>
      </c>
      <c r="K377" s="3" t="s">
        <v>982</v>
      </c>
      <c r="L377" s="365"/>
      <c r="M377" s="2">
        <v>0</v>
      </c>
      <c r="N377" s="311">
        <v>410</v>
      </c>
      <c r="O377" s="310" t="s">
        <v>1190</v>
      </c>
      <c r="P377" s="309">
        <v>40</v>
      </c>
      <c r="Q377" s="60" t="s">
        <v>456</v>
      </c>
      <c r="R377" s="309">
        <v>5022</v>
      </c>
      <c r="S377" s="60" t="s">
        <v>202</v>
      </c>
      <c r="T377" s="61">
        <v>180</v>
      </c>
      <c r="U377" s="60" t="s">
        <v>385</v>
      </c>
      <c r="V377" s="1">
        <v>3</v>
      </c>
      <c r="W377" s="1" t="s">
        <v>37</v>
      </c>
      <c r="X377" s="1" t="s">
        <v>1253</v>
      </c>
      <c r="Y377" s="2">
        <v>1311.32</v>
      </c>
      <c r="Z377" s="2">
        <v>1106.35</v>
      </c>
      <c r="AA377" s="2">
        <v>1390.2</v>
      </c>
      <c r="AB377" s="2">
        <v>1790.06</v>
      </c>
      <c r="AC377" s="2">
        <v>2107.82</v>
      </c>
      <c r="AD377" s="2">
        <v>-5474.45</v>
      </c>
      <c r="AE377" s="2">
        <v>1551.71</v>
      </c>
      <c r="AF377" s="2">
        <v>-1565.81</v>
      </c>
      <c r="AG377" s="2">
        <v>987.5</v>
      </c>
      <c r="AH377" s="2">
        <v>0</v>
      </c>
      <c r="AI377" s="2">
        <v>0</v>
      </c>
      <c r="AJ377" s="2">
        <v>3408.6</v>
      </c>
      <c r="AK377" s="2">
        <v>0</v>
      </c>
      <c r="AL377" s="2">
        <v>0</v>
      </c>
      <c r="AM377" s="2">
        <v>0</v>
      </c>
      <c r="AN377" s="2">
        <v>0</v>
      </c>
      <c r="AO377" s="2">
        <v>0</v>
      </c>
      <c r="AP377" s="2">
        <v>0</v>
      </c>
      <c r="AQ377" s="2">
        <v>0</v>
      </c>
      <c r="AR377" s="2">
        <v>0</v>
      </c>
      <c r="AS377" s="2">
        <v>0</v>
      </c>
      <c r="AT377" s="2">
        <v>0</v>
      </c>
      <c r="AU377" s="2">
        <v>0</v>
      </c>
      <c r="AV377" s="2">
        <v>0</v>
      </c>
      <c r="AW377" s="1">
        <v>373</v>
      </c>
    </row>
    <row r="378" spans="1:49" ht="12.75">
      <c r="A378" s="5">
        <v>4010</v>
      </c>
      <c r="B378" s="2" t="s">
        <v>1302</v>
      </c>
      <c r="C378" s="305">
        <v>0</v>
      </c>
      <c r="D378" s="305">
        <v>0</v>
      </c>
      <c r="E378" s="305">
        <v>950.12</v>
      </c>
      <c r="F378" s="305">
        <v>0</v>
      </c>
      <c r="G378" s="305">
        <v>0</v>
      </c>
      <c r="H378" s="305">
        <v>8703.26</v>
      </c>
      <c r="I378" s="305">
        <v>0</v>
      </c>
      <c r="J378" s="1" t="s">
        <v>786</v>
      </c>
      <c r="K378" s="3" t="s">
        <v>982</v>
      </c>
      <c r="L378" s="365"/>
      <c r="M378" s="2">
        <v>0</v>
      </c>
      <c r="N378" s="311">
        <v>410</v>
      </c>
      <c r="O378" s="310" t="s">
        <v>1190</v>
      </c>
      <c r="P378" s="309">
        <v>40</v>
      </c>
      <c r="Q378" s="60" t="s">
        <v>456</v>
      </c>
      <c r="R378" s="309">
        <v>5022</v>
      </c>
      <c r="S378" s="60" t="s">
        <v>202</v>
      </c>
      <c r="T378" s="61">
        <v>180</v>
      </c>
      <c r="U378" s="60" t="s">
        <v>385</v>
      </c>
      <c r="V378" s="1">
        <v>3</v>
      </c>
      <c r="W378" s="1" t="s">
        <v>37</v>
      </c>
      <c r="X378" s="1" t="s">
        <v>1253</v>
      </c>
      <c r="Y378" s="2">
        <v>1626.45</v>
      </c>
      <c r="Z378" s="2">
        <v>1414.06</v>
      </c>
      <c r="AA378" s="2">
        <v>1365.36</v>
      </c>
      <c r="AB378" s="2">
        <v>2465.31</v>
      </c>
      <c r="AC378" s="2">
        <v>2379.52</v>
      </c>
      <c r="AD378" s="2">
        <v>1870.58</v>
      </c>
      <c r="AE378" s="2">
        <v>1523.62</v>
      </c>
      <c r="AF378" s="2">
        <v>-4891.76</v>
      </c>
      <c r="AG378" s="2">
        <v>0</v>
      </c>
      <c r="AH378" s="2">
        <v>0</v>
      </c>
      <c r="AI378" s="2">
        <v>0</v>
      </c>
      <c r="AJ378" s="2">
        <v>950.12</v>
      </c>
      <c r="AK378" s="2">
        <v>0</v>
      </c>
      <c r="AL378" s="2">
        <v>0</v>
      </c>
      <c r="AM378" s="2">
        <v>0</v>
      </c>
      <c r="AN378" s="2">
        <v>0</v>
      </c>
      <c r="AO378" s="2">
        <v>0</v>
      </c>
      <c r="AP378" s="2">
        <v>0</v>
      </c>
      <c r="AQ378" s="2">
        <v>0</v>
      </c>
      <c r="AR378" s="2">
        <v>0</v>
      </c>
      <c r="AS378" s="2">
        <v>0</v>
      </c>
      <c r="AT378" s="2">
        <v>0</v>
      </c>
      <c r="AU378" s="2">
        <v>0</v>
      </c>
      <c r="AV378" s="2">
        <v>0</v>
      </c>
      <c r="AW378" s="1">
        <v>374</v>
      </c>
    </row>
    <row r="379" spans="1:49" ht="12.75">
      <c r="A379" s="5">
        <v>4010</v>
      </c>
      <c r="B379" s="2" t="s">
        <v>1303</v>
      </c>
      <c r="C379" s="305">
        <v>0</v>
      </c>
      <c r="D379" s="305">
        <v>0</v>
      </c>
      <c r="E379" s="305">
        <v>35061.06</v>
      </c>
      <c r="F379" s="305">
        <v>0</v>
      </c>
      <c r="G379" s="305">
        <v>0</v>
      </c>
      <c r="H379" s="305">
        <v>161080.88</v>
      </c>
      <c r="I379" s="305">
        <v>0</v>
      </c>
      <c r="J379" s="1" t="s">
        <v>787</v>
      </c>
      <c r="K379" s="3" t="s">
        <v>982</v>
      </c>
      <c r="L379" s="365"/>
      <c r="M379" s="2">
        <v>0</v>
      </c>
      <c r="N379" s="311">
        <v>410</v>
      </c>
      <c r="O379" s="310" t="s">
        <v>1190</v>
      </c>
      <c r="P379" s="309">
        <v>40</v>
      </c>
      <c r="Q379" s="60" t="s">
        <v>456</v>
      </c>
      <c r="R379" s="309">
        <v>5024</v>
      </c>
      <c r="S379" s="60" t="s">
        <v>155</v>
      </c>
      <c r="T379" s="61">
        <v>190</v>
      </c>
      <c r="U379" s="60" t="s">
        <v>503</v>
      </c>
      <c r="V379" s="1">
        <v>3</v>
      </c>
      <c r="W379" s="1" t="s">
        <v>37</v>
      </c>
      <c r="X379" s="1" t="s">
        <v>1255</v>
      </c>
      <c r="Y379" s="2">
        <v>15938.7</v>
      </c>
      <c r="Z379" s="2">
        <v>13695.39</v>
      </c>
      <c r="AA379" s="2">
        <v>16184.19</v>
      </c>
      <c r="AB379" s="2">
        <v>14578.12</v>
      </c>
      <c r="AC379" s="2">
        <v>15907.98</v>
      </c>
      <c r="AD379" s="2">
        <v>13815.39</v>
      </c>
      <c r="AE379" s="2">
        <v>13917.05</v>
      </c>
      <c r="AF379" s="2">
        <v>11023.77</v>
      </c>
      <c r="AG379" s="2">
        <v>10959.23</v>
      </c>
      <c r="AH379" s="2">
        <v>0</v>
      </c>
      <c r="AI379" s="2">
        <v>0</v>
      </c>
      <c r="AJ379" s="2">
        <v>35061.06</v>
      </c>
      <c r="AK379" s="2">
        <v>0</v>
      </c>
      <c r="AL379" s="2">
        <v>0</v>
      </c>
      <c r="AM379" s="2">
        <v>0</v>
      </c>
      <c r="AN379" s="2">
        <v>0</v>
      </c>
      <c r="AO379" s="2">
        <v>0</v>
      </c>
      <c r="AP379" s="2">
        <v>0</v>
      </c>
      <c r="AQ379" s="2">
        <v>0</v>
      </c>
      <c r="AR379" s="2">
        <v>0</v>
      </c>
      <c r="AS379" s="2">
        <v>0</v>
      </c>
      <c r="AT379" s="2">
        <v>0</v>
      </c>
      <c r="AU379" s="2">
        <v>0</v>
      </c>
      <c r="AV379" s="2">
        <v>0</v>
      </c>
      <c r="AW379" s="1">
        <v>375</v>
      </c>
    </row>
    <row r="380" spans="1:49" ht="12.75">
      <c r="A380" s="5">
        <v>4010</v>
      </c>
      <c r="B380" s="2" t="s">
        <v>1304</v>
      </c>
      <c r="C380" s="305">
        <v>0</v>
      </c>
      <c r="D380" s="305">
        <v>0</v>
      </c>
      <c r="E380" s="305">
        <v>95355.92</v>
      </c>
      <c r="F380" s="305">
        <v>0</v>
      </c>
      <c r="G380" s="305">
        <v>0</v>
      </c>
      <c r="H380" s="305">
        <v>160464.93</v>
      </c>
      <c r="I380" s="305">
        <v>0</v>
      </c>
      <c r="J380" s="1" t="s">
        <v>789</v>
      </c>
      <c r="K380" s="3" t="s">
        <v>982</v>
      </c>
      <c r="L380" s="365"/>
      <c r="M380" s="2">
        <v>0</v>
      </c>
      <c r="N380" s="311">
        <v>410</v>
      </c>
      <c r="O380" s="310" t="s">
        <v>1190</v>
      </c>
      <c r="P380" s="309">
        <v>40</v>
      </c>
      <c r="Q380" s="60" t="s">
        <v>456</v>
      </c>
      <c r="R380" s="309">
        <v>5024</v>
      </c>
      <c r="S380" s="60" t="s">
        <v>155</v>
      </c>
      <c r="T380" s="61">
        <v>190</v>
      </c>
      <c r="U380" s="60" t="s">
        <v>503</v>
      </c>
      <c r="V380" s="1">
        <v>3</v>
      </c>
      <c r="W380" s="1" t="s">
        <v>37</v>
      </c>
      <c r="X380" s="1" t="s">
        <v>1305</v>
      </c>
      <c r="Y380" s="2">
        <v>7957.28</v>
      </c>
      <c r="Z380" s="2">
        <v>6783.35</v>
      </c>
      <c r="AA380" s="2">
        <v>9863.79</v>
      </c>
      <c r="AB380" s="2">
        <v>10470.5</v>
      </c>
      <c r="AC380" s="2">
        <v>12822.09</v>
      </c>
      <c r="AD380" s="2">
        <v>9029.06</v>
      </c>
      <c r="AE380" s="2">
        <v>5628.07</v>
      </c>
      <c r="AF380" s="2">
        <v>2554.87</v>
      </c>
      <c r="AG380" s="2">
        <v>0</v>
      </c>
      <c r="AH380" s="2">
        <v>0</v>
      </c>
      <c r="AI380" s="2">
        <v>0</v>
      </c>
      <c r="AJ380" s="2">
        <v>95355.92</v>
      </c>
      <c r="AK380" s="2">
        <v>0</v>
      </c>
      <c r="AL380" s="2">
        <v>0</v>
      </c>
      <c r="AM380" s="2">
        <v>0</v>
      </c>
      <c r="AN380" s="2">
        <v>0</v>
      </c>
      <c r="AO380" s="2">
        <v>0</v>
      </c>
      <c r="AP380" s="2">
        <v>0</v>
      </c>
      <c r="AQ380" s="2">
        <v>0</v>
      </c>
      <c r="AR380" s="2">
        <v>0</v>
      </c>
      <c r="AS380" s="2">
        <v>0</v>
      </c>
      <c r="AT380" s="2">
        <v>0</v>
      </c>
      <c r="AU380" s="2">
        <v>0</v>
      </c>
      <c r="AV380" s="2">
        <v>0</v>
      </c>
      <c r="AW380" s="1">
        <v>376</v>
      </c>
    </row>
    <row r="381" spans="1:49" ht="12.75">
      <c r="A381" s="5">
        <v>4010</v>
      </c>
      <c r="B381" s="2" t="s">
        <v>1306</v>
      </c>
      <c r="C381" s="305">
        <v>0</v>
      </c>
      <c r="D381" s="305">
        <v>0</v>
      </c>
      <c r="E381" s="305">
        <v>-10290.16</v>
      </c>
      <c r="F381" s="305">
        <v>0</v>
      </c>
      <c r="G381" s="305">
        <v>0</v>
      </c>
      <c r="H381" s="305">
        <v>7483.3</v>
      </c>
      <c r="I381" s="305">
        <v>0</v>
      </c>
      <c r="J381" s="1" t="s">
        <v>790</v>
      </c>
      <c r="K381" s="3" t="s">
        <v>982</v>
      </c>
      <c r="L381" s="365"/>
      <c r="M381" s="2">
        <v>0</v>
      </c>
      <c r="N381" s="311">
        <v>410</v>
      </c>
      <c r="O381" s="310" t="s">
        <v>1190</v>
      </c>
      <c r="P381" s="309">
        <v>40</v>
      </c>
      <c r="Q381" s="60" t="s">
        <v>456</v>
      </c>
      <c r="R381" s="309">
        <v>5024</v>
      </c>
      <c r="S381" s="60" t="s">
        <v>155</v>
      </c>
      <c r="T381" s="61">
        <v>190</v>
      </c>
      <c r="U381" s="60" t="s">
        <v>503</v>
      </c>
      <c r="V381" s="1">
        <v>3</v>
      </c>
      <c r="W381" s="1" t="s">
        <v>37</v>
      </c>
      <c r="X381" s="1" t="s">
        <v>1258</v>
      </c>
      <c r="Y381" s="2">
        <v>5820.74</v>
      </c>
      <c r="Z381" s="2">
        <v>4105.3</v>
      </c>
      <c r="AA381" s="2">
        <v>1222.19</v>
      </c>
      <c r="AB381" s="2">
        <v>647.45</v>
      </c>
      <c r="AC381" s="2">
        <v>621.49</v>
      </c>
      <c r="AD381" s="2">
        <v>528.05</v>
      </c>
      <c r="AE381" s="2">
        <v>570.6</v>
      </c>
      <c r="AF381" s="2">
        <v>1301.8</v>
      </c>
      <c r="AG381" s="2">
        <v>2955.84</v>
      </c>
      <c r="AH381" s="2">
        <v>0</v>
      </c>
      <c r="AI381" s="2">
        <v>0</v>
      </c>
      <c r="AJ381" s="2">
        <v>-10290.16</v>
      </c>
      <c r="AK381" s="2">
        <v>0</v>
      </c>
      <c r="AL381" s="2">
        <v>0</v>
      </c>
      <c r="AM381" s="2">
        <v>0</v>
      </c>
      <c r="AN381" s="2">
        <v>0</v>
      </c>
      <c r="AO381" s="2">
        <v>0</v>
      </c>
      <c r="AP381" s="2">
        <v>0</v>
      </c>
      <c r="AQ381" s="2">
        <v>0</v>
      </c>
      <c r="AR381" s="2">
        <v>0</v>
      </c>
      <c r="AS381" s="2">
        <v>0</v>
      </c>
      <c r="AT381" s="2">
        <v>0</v>
      </c>
      <c r="AU381" s="2">
        <v>0</v>
      </c>
      <c r="AV381" s="2">
        <v>0</v>
      </c>
      <c r="AW381" s="1">
        <v>377</v>
      </c>
    </row>
    <row r="382" spans="1:49" ht="12.75">
      <c r="A382" s="5">
        <v>4010</v>
      </c>
      <c r="B382" s="2" t="s">
        <v>1307</v>
      </c>
      <c r="C382" s="305">
        <v>0</v>
      </c>
      <c r="D382" s="305">
        <v>0</v>
      </c>
      <c r="E382" s="305">
        <v>141417.49</v>
      </c>
      <c r="F382" s="305">
        <v>0</v>
      </c>
      <c r="G382" s="305">
        <v>0</v>
      </c>
      <c r="H382" s="305">
        <v>497402.51</v>
      </c>
      <c r="I382" s="305">
        <v>0</v>
      </c>
      <c r="J382" s="1" t="s">
        <v>791</v>
      </c>
      <c r="K382" s="3" t="s">
        <v>982</v>
      </c>
      <c r="L382" s="365"/>
      <c r="M382" s="2">
        <v>0</v>
      </c>
      <c r="N382" s="311">
        <v>410</v>
      </c>
      <c r="O382" s="310" t="s">
        <v>1190</v>
      </c>
      <c r="P382" s="309">
        <v>40</v>
      </c>
      <c r="Q382" s="60" t="s">
        <v>456</v>
      </c>
      <c r="R382" s="309">
        <v>5024</v>
      </c>
      <c r="S382" s="60" t="s">
        <v>155</v>
      </c>
      <c r="T382" s="61">
        <v>200</v>
      </c>
      <c r="U382" s="60" t="s">
        <v>499</v>
      </c>
      <c r="V382" s="1">
        <v>3</v>
      </c>
      <c r="W382" s="1" t="s">
        <v>37</v>
      </c>
      <c r="X382" s="1" t="s">
        <v>1268</v>
      </c>
      <c r="Y382" s="2">
        <v>44041.14</v>
      </c>
      <c r="Z382" s="2">
        <v>37815.41</v>
      </c>
      <c r="AA382" s="2">
        <v>56137.29</v>
      </c>
      <c r="AB382" s="2">
        <v>58656.26</v>
      </c>
      <c r="AC382" s="2">
        <v>52723.63</v>
      </c>
      <c r="AD382" s="2">
        <v>44453.53</v>
      </c>
      <c r="AE382" s="2">
        <v>24101.99</v>
      </c>
      <c r="AF382" s="2">
        <v>23074.57</v>
      </c>
      <c r="AG382" s="2">
        <v>14981.2</v>
      </c>
      <c r="AH382" s="2">
        <v>0</v>
      </c>
      <c r="AI382" s="2">
        <v>0</v>
      </c>
      <c r="AJ382" s="2">
        <v>141417.49</v>
      </c>
      <c r="AK382" s="2">
        <v>0</v>
      </c>
      <c r="AL382" s="2">
        <v>0</v>
      </c>
      <c r="AM382" s="2">
        <v>0</v>
      </c>
      <c r="AN382" s="2">
        <v>0</v>
      </c>
      <c r="AO382" s="2">
        <v>0</v>
      </c>
      <c r="AP382" s="2">
        <v>0</v>
      </c>
      <c r="AQ382" s="2">
        <v>0</v>
      </c>
      <c r="AR382" s="2">
        <v>0</v>
      </c>
      <c r="AS382" s="2">
        <v>0</v>
      </c>
      <c r="AT382" s="2">
        <v>0</v>
      </c>
      <c r="AU382" s="2">
        <v>0</v>
      </c>
      <c r="AV382" s="2">
        <v>0</v>
      </c>
      <c r="AW382" s="1">
        <v>378</v>
      </c>
    </row>
    <row r="383" spans="1:49" ht="12.75">
      <c r="A383" s="5">
        <v>4010</v>
      </c>
      <c r="B383" s="2" t="s">
        <v>1308</v>
      </c>
      <c r="C383" s="305">
        <v>0</v>
      </c>
      <c r="D383" s="305">
        <v>0</v>
      </c>
      <c r="E383" s="305">
        <v>2343.84</v>
      </c>
      <c r="F383" s="305">
        <v>0</v>
      </c>
      <c r="G383" s="305">
        <v>0</v>
      </c>
      <c r="H383" s="305">
        <v>16381.61</v>
      </c>
      <c r="I383" s="305">
        <v>0</v>
      </c>
      <c r="J383" s="1" t="s">
        <v>792</v>
      </c>
      <c r="K383" s="3" t="s">
        <v>982</v>
      </c>
      <c r="L383" s="365"/>
      <c r="M383" s="2">
        <v>0</v>
      </c>
      <c r="N383" s="311">
        <v>410</v>
      </c>
      <c r="O383" s="310" t="s">
        <v>1190</v>
      </c>
      <c r="P383" s="309">
        <v>40</v>
      </c>
      <c r="Q383" s="60" t="s">
        <v>456</v>
      </c>
      <c r="R383" s="309">
        <v>5024</v>
      </c>
      <c r="S383" s="60" t="s">
        <v>155</v>
      </c>
      <c r="T383" s="61">
        <v>170</v>
      </c>
      <c r="U383" s="60" t="s">
        <v>501</v>
      </c>
      <c r="V383" s="1">
        <v>3</v>
      </c>
      <c r="W383" s="1" t="s">
        <v>37</v>
      </c>
      <c r="X383" s="1" t="s">
        <v>1309</v>
      </c>
      <c r="Y383" s="2">
        <v>3896.33</v>
      </c>
      <c r="Z383" s="2">
        <v>3148.43</v>
      </c>
      <c r="AA383" s="2">
        <v>1960.2</v>
      </c>
      <c r="AB383" s="2">
        <v>1102.02</v>
      </c>
      <c r="AC383" s="2">
        <v>1364.01</v>
      </c>
      <c r="AD383" s="2">
        <v>951.07</v>
      </c>
      <c r="AE383" s="2">
        <v>1191.42</v>
      </c>
      <c r="AF383" s="2">
        <v>424.29</v>
      </c>
      <c r="AG383" s="2">
        <v>0</v>
      </c>
      <c r="AH383" s="2">
        <v>0</v>
      </c>
      <c r="AI383" s="2">
        <v>0</v>
      </c>
      <c r="AJ383" s="2">
        <v>2343.84</v>
      </c>
      <c r="AK383" s="2">
        <v>0</v>
      </c>
      <c r="AL383" s="2">
        <v>0</v>
      </c>
      <c r="AM383" s="2">
        <v>0</v>
      </c>
      <c r="AN383" s="2">
        <v>0</v>
      </c>
      <c r="AO383" s="2">
        <v>0</v>
      </c>
      <c r="AP383" s="2">
        <v>0</v>
      </c>
      <c r="AQ383" s="2">
        <v>0</v>
      </c>
      <c r="AR383" s="2">
        <v>0</v>
      </c>
      <c r="AS383" s="2">
        <v>0</v>
      </c>
      <c r="AT383" s="2">
        <v>0</v>
      </c>
      <c r="AU383" s="2">
        <v>0</v>
      </c>
      <c r="AV383" s="2">
        <v>0</v>
      </c>
      <c r="AW383" s="1">
        <v>379</v>
      </c>
    </row>
    <row r="384" spans="1:49" ht="12.75">
      <c r="A384" s="5">
        <v>4010</v>
      </c>
      <c r="B384" s="2" t="s">
        <v>1310</v>
      </c>
      <c r="C384" s="305">
        <v>0</v>
      </c>
      <c r="D384" s="305">
        <v>0</v>
      </c>
      <c r="E384" s="305">
        <v>111366.52</v>
      </c>
      <c r="F384" s="305">
        <v>0</v>
      </c>
      <c r="G384" s="305">
        <v>0</v>
      </c>
      <c r="H384" s="305">
        <v>270810.57</v>
      </c>
      <c r="I384" s="305">
        <v>0</v>
      </c>
      <c r="J384" s="1" t="s">
        <v>793</v>
      </c>
      <c r="K384" s="3" t="s">
        <v>982</v>
      </c>
      <c r="L384" s="365"/>
      <c r="M384" s="2">
        <v>0</v>
      </c>
      <c r="N384" s="311">
        <v>410</v>
      </c>
      <c r="O384" s="310" t="s">
        <v>1190</v>
      </c>
      <c r="P384" s="309">
        <v>40</v>
      </c>
      <c r="Q384" s="60" t="s">
        <v>456</v>
      </c>
      <c r="R384" s="309">
        <v>5024</v>
      </c>
      <c r="S384" s="60" t="s">
        <v>155</v>
      </c>
      <c r="T384" s="61">
        <v>190</v>
      </c>
      <c r="U384" s="60" t="s">
        <v>503</v>
      </c>
      <c r="V384" s="1">
        <v>3</v>
      </c>
      <c r="W384" s="1" t="s">
        <v>37</v>
      </c>
      <c r="X384" s="1" t="s">
        <v>1262</v>
      </c>
      <c r="Y384" s="2">
        <v>15954.48</v>
      </c>
      <c r="Z384" s="2">
        <v>17980.38</v>
      </c>
      <c r="AA384" s="2">
        <v>15730.69</v>
      </c>
      <c r="AB384" s="2">
        <v>25408.58</v>
      </c>
      <c r="AC384" s="2">
        <v>25228.97</v>
      </c>
      <c r="AD384" s="2">
        <v>22293.37</v>
      </c>
      <c r="AE384" s="2">
        <v>20850.52</v>
      </c>
      <c r="AF384" s="2">
        <v>10624.69</v>
      </c>
      <c r="AG384" s="2">
        <v>5372.37</v>
      </c>
      <c r="AH384" s="2">
        <v>0</v>
      </c>
      <c r="AI384" s="2">
        <v>0</v>
      </c>
      <c r="AJ384" s="2">
        <v>111366.52</v>
      </c>
      <c r="AK384" s="2">
        <v>0</v>
      </c>
      <c r="AL384" s="2">
        <v>0</v>
      </c>
      <c r="AM384" s="2">
        <v>0</v>
      </c>
      <c r="AN384" s="2">
        <v>0</v>
      </c>
      <c r="AO384" s="2">
        <v>0</v>
      </c>
      <c r="AP384" s="2">
        <v>0</v>
      </c>
      <c r="AQ384" s="2">
        <v>0</v>
      </c>
      <c r="AR384" s="2">
        <v>0</v>
      </c>
      <c r="AS384" s="2">
        <v>0</v>
      </c>
      <c r="AT384" s="2">
        <v>0</v>
      </c>
      <c r="AU384" s="2">
        <v>0</v>
      </c>
      <c r="AV384" s="2">
        <v>0</v>
      </c>
      <c r="AW384" s="1">
        <v>380</v>
      </c>
    </row>
    <row r="385" spans="1:49" ht="12.75">
      <c r="A385" s="5">
        <v>4010</v>
      </c>
      <c r="B385" s="2" t="s">
        <v>1311</v>
      </c>
      <c r="C385" s="305">
        <v>0</v>
      </c>
      <c r="D385" s="305">
        <v>0</v>
      </c>
      <c r="E385" s="305">
        <v>-5714.7</v>
      </c>
      <c r="F385" s="305">
        <v>0</v>
      </c>
      <c r="G385" s="305">
        <v>0</v>
      </c>
      <c r="H385" s="305">
        <v>75572.07</v>
      </c>
      <c r="I385" s="305">
        <v>0</v>
      </c>
      <c r="J385" s="1" t="s">
        <v>794</v>
      </c>
      <c r="K385" s="3" t="s">
        <v>982</v>
      </c>
      <c r="L385" s="365"/>
      <c r="M385" s="2">
        <v>0</v>
      </c>
      <c r="N385" s="311">
        <v>410</v>
      </c>
      <c r="O385" s="310" t="s">
        <v>1190</v>
      </c>
      <c r="P385" s="309">
        <v>40</v>
      </c>
      <c r="Q385" s="60" t="s">
        <v>456</v>
      </c>
      <c r="R385" s="309">
        <v>5024</v>
      </c>
      <c r="S385" s="60" t="s">
        <v>155</v>
      </c>
      <c r="T385" s="61">
        <v>200</v>
      </c>
      <c r="U385" s="60" t="s">
        <v>499</v>
      </c>
      <c r="V385" s="1">
        <v>3</v>
      </c>
      <c r="W385" s="1" t="s">
        <v>37</v>
      </c>
      <c r="X385" s="1" t="s">
        <v>1266</v>
      </c>
      <c r="Y385" s="2">
        <v>14280.53</v>
      </c>
      <c r="Z385" s="2">
        <v>8932.38</v>
      </c>
      <c r="AA385" s="2">
        <v>10180.54</v>
      </c>
      <c r="AB385" s="2">
        <v>6994.43</v>
      </c>
      <c r="AC385" s="2">
        <v>9362.33</v>
      </c>
      <c r="AD385" s="2">
        <v>8540.2</v>
      </c>
      <c r="AE385" s="2">
        <v>7326.29</v>
      </c>
      <c r="AF385" s="2">
        <v>6371.06</v>
      </c>
      <c r="AG385" s="2">
        <v>9299.01</v>
      </c>
      <c r="AH385" s="2">
        <v>0</v>
      </c>
      <c r="AI385" s="2">
        <v>0</v>
      </c>
      <c r="AJ385" s="2">
        <v>-5714.7</v>
      </c>
      <c r="AK385" s="2">
        <v>0</v>
      </c>
      <c r="AL385" s="2">
        <v>0</v>
      </c>
      <c r="AM385" s="2">
        <v>0</v>
      </c>
      <c r="AN385" s="2">
        <v>0</v>
      </c>
      <c r="AO385" s="2">
        <v>0</v>
      </c>
      <c r="AP385" s="2">
        <v>0</v>
      </c>
      <c r="AQ385" s="2">
        <v>0</v>
      </c>
      <c r="AR385" s="2">
        <v>0</v>
      </c>
      <c r="AS385" s="2">
        <v>0</v>
      </c>
      <c r="AT385" s="2">
        <v>0</v>
      </c>
      <c r="AU385" s="2">
        <v>0</v>
      </c>
      <c r="AV385" s="2">
        <v>0</v>
      </c>
      <c r="AW385" s="1">
        <v>381</v>
      </c>
    </row>
    <row r="386" spans="1:49" ht="12.75">
      <c r="A386" s="5">
        <v>4010</v>
      </c>
      <c r="B386" s="2" t="s">
        <v>1312</v>
      </c>
      <c r="C386" s="305">
        <v>0</v>
      </c>
      <c r="D386" s="305">
        <v>0</v>
      </c>
      <c r="E386" s="305">
        <v>3537.94</v>
      </c>
      <c r="F386" s="305">
        <v>0</v>
      </c>
      <c r="G386" s="305">
        <v>0</v>
      </c>
      <c r="H386" s="305">
        <v>284053.41</v>
      </c>
      <c r="I386" s="305">
        <v>0</v>
      </c>
      <c r="J386" s="1" t="s">
        <v>795</v>
      </c>
      <c r="K386" s="3" t="s">
        <v>982</v>
      </c>
      <c r="L386" s="365"/>
      <c r="M386" s="2">
        <v>0</v>
      </c>
      <c r="N386" s="311">
        <v>410</v>
      </c>
      <c r="O386" s="310" t="s">
        <v>1190</v>
      </c>
      <c r="P386" s="309">
        <v>40</v>
      </c>
      <c r="Q386" s="60" t="s">
        <v>456</v>
      </c>
      <c r="R386" s="309">
        <v>5025</v>
      </c>
      <c r="S386" s="60" t="s">
        <v>204</v>
      </c>
      <c r="T386" s="61">
        <v>140</v>
      </c>
      <c r="U386" s="60" t="s">
        <v>504</v>
      </c>
      <c r="V386" s="1">
        <v>3</v>
      </c>
      <c r="W386" s="1" t="s">
        <v>37</v>
      </c>
      <c r="X386" s="1" t="s">
        <v>1219</v>
      </c>
      <c r="Y386" s="2">
        <v>24411.41</v>
      </c>
      <c r="Z386" s="2">
        <v>25427.71</v>
      </c>
      <c r="AA386" s="2">
        <v>25457.9</v>
      </c>
      <c r="AB386" s="2">
        <v>35470.54</v>
      </c>
      <c r="AC386" s="2">
        <v>47736.82</v>
      </c>
      <c r="AD386" s="2">
        <v>37186.34</v>
      </c>
      <c r="AE386" s="2">
        <v>30902.03</v>
      </c>
      <c r="AF386" s="2">
        <v>28333.61</v>
      </c>
      <c r="AG386" s="2">
        <v>25589.11</v>
      </c>
      <c r="AH386" s="2">
        <v>0</v>
      </c>
      <c r="AI386" s="2">
        <v>0</v>
      </c>
      <c r="AJ386" s="2">
        <v>3537.94</v>
      </c>
      <c r="AK386" s="2">
        <v>0</v>
      </c>
      <c r="AL386" s="2">
        <v>0</v>
      </c>
      <c r="AM386" s="2">
        <v>0</v>
      </c>
      <c r="AN386" s="2">
        <v>0</v>
      </c>
      <c r="AO386" s="2">
        <v>0</v>
      </c>
      <c r="AP386" s="2">
        <v>0</v>
      </c>
      <c r="AQ386" s="2">
        <v>0</v>
      </c>
      <c r="AR386" s="2">
        <v>0</v>
      </c>
      <c r="AS386" s="2">
        <v>0</v>
      </c>
      <c r="AT386" s="2">
        <v>0</v>
      </c>
      <c r="AU386" s="2">
        <v>0</v>
      </c>
      <c r="AV386" s="2">
        <v>0</v>
      </c>
      <c r="AW386" s="1">
        <v>382</v>
      </c>
    </row>
    <row r="387" spans="1:49" ht="12.75">
      <c r="A387" s="5">
        <v>4010</v>
      </c>
      <c r="B387" s="2" t="s">
        <v>1313</v>
      </c>
      <c r="C387" s="305">
        <v>8013.52</v>
      </c>
      <c r="D387" s="305">
        <v>0</v>
      </c>
      <c r="E387" s="305">
        <v>-4066.46</v>
      </c>
      <c r="F387" s="305">
        <v>43116.52</v>
      </c>
      <c r="G387" s="305">
        <v>0</v>
      </c>
      <c r="H387" s="305">
        <v>1213.54</v>
      </c>
      <c r="I387" s="305">
        <v>0</v>
      </c>
      <c r="J387" s="1" t="s">
        <v>797</v>
      </c>
      <c r="K387" s="3" t="s">
        <v>982</v>
      </c>
      <c r="L387" s="365"/>
      <c r="M387" s="2">
        <v>43116.52</v>
      </c>
      <c r="N387" s="311">
        <v>410</v>
      </c>
      <c r="O387" s="310" t="s">
        <v>1190</v>
      </c>
      <c r="P387" s="309">
        <v>40</v>
      </c>
      <c r="Q387" s="60" t="s">
        <v>456</v>
      </c>
      <c r="R387" s="309">
        <v>5025</v>
      </c>
      <c r="S387" s="60" t="s">
        <v>204</v>
      </c>
      <c r="T387" s="61">
        <v>250</v>
      </c>
      <c r="U387" s="60" t="s">
        <v>505</v>
      </c>
      <c r="V387" s="1">
        <v>3</v>
      </c>
      <c r="W387" s="1" t="s">
        <v>37</v>
      </c>
      <c r="X387" s="1" t="s">
        <v>1314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  <c r="AE387" s="2">
        <v>0</v>
      </c>
      <c r="AF387" s="2">
        <v>0</v>
      </c>
      <c r="AG387" s="2">
        <v>0</v>
      </c>
      <c r="AH387" s="2">
        <v>2605</v>
      </c>
      <c r="AI387" s="2">
        <v>2675</v>
      </c>
      <c r="AJ387" s="2">
        <v>-4066.46</v>
      </c>
      <c r="AK387" s="2">
        <v>2981</v>
      </c>
      <c r="AL387" s="2">
        <v>2036</v>
      </c>
      <c r="AM387" s="2">
        <v>2897</v>
      </c>
      <c r="AN387" s="2">
        <v>3904</v>
      </c>
      <c r="AO387" s="2">
        <v>4137</v>
      </c>
      <c r="AP387" s="2">
        <v>4510</v>
      </c>
      <c r="AQ387" s="2">
        <v>2989</v>
      </c>
      <c r="AR387" s="2">
        <v>3209</v>
      </c>
      <c r="AS387" s="2">
        <v>2958</v>
      </c>
      <c r="AT387" s="2">
        <v>2834</v>
      </c>
      <c r="AU387" s="2">
        <v>2648</v>
      </c>
      <c r="AV387" s="2">
        <v>8013.52</v>
      </c>
      <c r="AW387" s="1">
        <v>383</v>
      </c>
    </row>
    <row r="388" spans="1:49" ht="12.75">
      <c r="A388" s="5">
        <v>4010</v>
      </c>
      <c r="B388" s="2" t="s">
        <v>1315</v>
      </c>
      <c r="C388" s="305">
        <v>0</v>
      </c>
      <c r="D388" s="305">
        <v>0</v>
      </c>
      <c r="E388" s="305">
        <v>11690.83</v>
      </c>
      <c r="F388" s="305">
        <v>0</v>
      </c>
      <c r="G388" s="305">
        <v>0</v>
      </c>
      <c r="H388" s="305">
        <v>44965.02</v>
      </c>
      <c r="I388" s="305">
        <v>0</v>
      </c>
      <c r="J388" s="1" t="s">
        <v>798</v>
      </c>
      <c r="K388" s="3" t="s">
        <v>982</v>
      </c>
      <c r="L388" s="365"/>
      <c r="M388" s="2">
        <v>0</v>
      </c>
      <c r="N388" s="311">
        <v>410</v>
      </c>
      <c r="O388" s="310" t="s">
        <v>1190</v>
      </c>
      <c r="P388" s="309">
        <v>40</v>
      </c>
      <c r="Q388" s="60" t="s">
        <v>456</v>
      </c>
      <c r="R388" s="309">
        <v>5025</v>
      </c>
      <c r="S388" s="60" t="s">
        <v>204</v>
      </c>
      <c r="T388" s="61">
        <v>140</v>
      </c>
      <c r="U388" s="60" t="s">
        <v>504</v>
      </c>
      <c r="V388" s="1">
        <v>3</v>
      </c>
      <c r="W388" s="1" t="s">
        <v>37</v>
      </c>
      <c r="X388" s="1" t="s">
        <v>1224</v>
      </c>
      <c r="Y388" s="2">
        <v>1515.26</v>
      </c>
      <c r="Z388" s="2">
        <v>1735.07</v>
      </c>
      <c r="AA388" s="2">
        <v>2317.7</v>
      </c>
      <c r="AB388" s="2">
        <v>3593.84</v>
      </c>
      <c r="AC388" s="2">
        <v>5000.5</v>
      </c>
      <c r="AD388" s="2">
        <v>5864.29</v>
      </c>
      <c r="AE388" s="2">
        <v>5444.4</v>
      </c>
      <c r="AF388" s="2">
        <v>4918.4</v>
      </c>
      <c r="AG388" s="2">
        <v>2884.73</v>
      </c>
      <c r="AH388" s="2">
        <v>0</v>
      </c>
      <c r="AI388" s="2">
        <v>0</v>
      </c>
      <c r="AJ388" s="2">
        <v>11690.83</v>
      </c>
      <c r="AK388" s="2">
        <v>0</v>
      </c>
      <c r="AL388" s="2">
        <v>0</v>
      </c>
      <c r="AM388" s="2">
        <v>0</v>
      </c>
      <c r="AN388" s="2">
        <v>0</v>
      </c>
      <c r="AO388" s="2">
        <v>0</v>
      </c>
      <c r="AP388" s="2">
        <v>0</v>
      </c>
      <c r="AQ388" s="2">
        <v>0</v>
      </c>
      <c r="AR388" s="2">
        <v>0</v>
      </c>
      <c r="AS388" s="2">
        <v>0</v>
      </c>
      <c r="AT388" s="2">
        <v>0</v>
      </c>
      <c r="AU388" s="2">
        <v>0</v>
      </c>
      <c r="AV388" s="2">
        <v>0</v>
      </c>
      <c r="AW388" s="1">
        <v>384</v>
      </c>
    </row>
    <row r="389" spans="1:49" ht="12.75">
      <c r="A389" s="5">
        <v>4010</v>
      </c>
      <c r="B389" s="2" t="s">
        <v>1316</v>
      </c>
      <c r="C389" s="305">
        <v>0</v>
      </c>
      <c r="D389" s="305">
        <v>0</v>
      </c>
      <c r="E389" s="305">
        <v>-16867.51</v>
      </c>
      <c r="F389" s="305">
        <v>0</v>
      </c>
      <c r="G389" s="305">
        <v>0</v>
      </c>
      <c r="H389" s="305">
        <v>0</v>
      </c>
      <c r="I389" s="305">
        <v>0</v>
      </c>
      <c r="J389" s="1" t="s">
        <v>800</v>
      </c>
      <c r="K389" s="3" t="s">
        <v>982</v>
      </c>
      <c r="L389" s="365"/>
      <c r="M389" s="2">
        <v>0</v>
      </c>
      <c r="N389" s="311">
        <v>410</v>
      </c>
      <c r="O389" s="310" t="s">
        <v>1190</v>
      </c>
      <c r="P389" s="309">
        <v>40</v>
      </c>
      <c r="Q389" s="60" t="s">
        <v>456</v>
      </c>
      <c r="R389" s="309">
        <v>5025</v>
      </c>
      <c r="S389" s="60" t="s">
        <v>204</v>
      </c>
      <c r="T389" s="61">
        <v>140</v>
      </c>
      <c r="U389" s="60" t="s">
        <v>504</v>
      </c>
      <c r="V389" s="1">
        <v>3</v>
      </c>
      <c r="W389" s="1" t="s">
        <v>37</v>
      </c>
      <c r="X389" s="1" t="s">
        <v>1222</v>
      </c>
      <c r="Y389" s="2">
        <v>0</v>
      </c>
      <c r="Z389" s="2">
        <v>0</v>
      </c>
      <c r="AA389" s="2">
        <v>0</v>
      </c>
      <c r="AB389" s="2">
        <v>0</v>
      </c>
      <c r="AC389" s="2">
        <v>0</v>
      </c>
      <c r="AD389" s="2">
        <v>0</v>
      </c>
      <c r="AE389" s="2">
        <v>0</v>
      </c>
      <c r="AF389" s="2">
        <v>3744.91</v>
      </c>
      <c r="AG389" s="2">
        <v>13122.6</v>
      </c>
      <c r="AH389" s="2">
        <v>0</v>
      </c>
      <c r="AI389" s="2">
        <v>0</v>
      </c>
      <c r="AJ389" s="2">
        <v>-16867.51</v>
      </c>
      <c r="AK389" s="2">
        <v>0</v>
      </c>
      <c r="AL389" s="2">
        <v>0</v>
      </c>
      <c r="AM389" s="2">
        <v>0</v>
      </c>
      <c r="AN389" s="2">
        <v>0</v>
      </c>
      <c r="AO389" s="2">
        <v>0</v>
      </c>
      <c r="AP389" s="2">
        <v>0</v>
      </c>
      <c r="AQ389" s="2">
        <v>0</v>
      </c>
      <c r="AR389" s="2">
        <v>0</v>
      </c>
      <c r="AS389" s="2">
        <v>0</v>
      </c>
      <c r="AT389" s="2">
        <v>0</v>
      </c>
      <c r="AU389" s="2">
        <v>0</v>
      </c>
      <c r="AV389" s="2">
        <v>0</v>
      </c>
      <c r="AW389" s="1">
        <v>385</v>
      </c>
    </row>
    <row r="390" spans="1:49" ht="12.75">
      <c r="A390" s="5">
        <v>4010</v>
      </c>
      <c r="B390" s="2" t="s">
        <v>1317</v>
      </c>
      <c r="C390" s="305">
        <v>0</v>
      </c>
      <c r="D390" s="305">
        <v>0</v>
      </c>
      <c r="E390" s="305">
        <v>-4576.48</v>
      </c>
      <c r="F390" s="305">
        <v>0</v>
      </c>
      <c r="G390" s="305">
        <v>0</v>
      </c>
      <c r="H390" s="305">
        <v>108009.71</v>
      </c>
      <c r="I390" s="305">
        <v>0</v>
      </c>
      <c r="J390" s="1" t="s">
        <v>801</v>
      </c>
      <c r="K390" s="3" t="s">
        <v>982</v>
      </c>
      <c r="L390" s="365"/>
      <c r="M390" s="2">
        <v>0</v>
      </c>
      <c r="N390" s="311">
        <v>410</v>
      </c>
      <c r="O390" s="310" t="s">
        <v>1190</v>
      </c>
      <c r="P390" s="309">
        <v>40</v>
      </c>
      <c r="Q390" s="60" t="s">
        <v>456</v>
      </c>
      <c r="R390" s="309">
        <v>5025</v>
      </c>
      <c r="S390" s="60" t="s">
        <v>204</v>
      </c>
      <c r="T390" s="61">
        <v>140</v>
      </c>
      <c r="U390" s="60" t="s">
        <v>504</v>
      </c>
      <c r="V390" s="1">
        <v>3</v>
      </c>
      <c r="W390" s="1" t="s">
        <v>37</v>
      </c>
      <c r="X390" s="1" t="s">
        <v>1318</v>
      </c>
      <c r="Y390" s="2">
        <v>9762.17</v>
      </c>
      <c r="Z390" s="2">
        <v>9272.73</v>
      </c>
      <c r="AA390" s="2">
        <v>12208.36</v>
      </c>
      <c r="AB390" s="2">
        <v>17274.16</v>
      </c>
      <c r="AC390" s="2">
        <v>22288.15</v>
      </c>
      <c r="AD390" s="2">
        <v>16079.77</v>
      </c>
      <c r="AE390" s="2">
        <v>16486.62</v>
      </c>
      <c r="AF390" s="2">
        <v>9214.23</v>
      </c>
      <c r="AG390" s="2">
        <v>0</v>
      </c>
      <c r="AH390" s="2">
        <v>0</v>
      </c>
      <c r="AI390" s="2">
        <v>0</v>
      </c>
      <c r="AJ390" s="2">
        <v>-4576.48</v>
      </c>
      <c r="AK390" s="2">
        <v>0</v>
      </c>
      <c r="AL390" s="2">
        <v>0</v>
      </c>
      <c r="AM390" s="2">
        <v>0</v>
      </c>
      <c r="AN390" s="2">
        <v>0</v>
      </c>
      <c r="AO390" s="2">
        <v>0</v>
      </c>
      <c r="AP390" s="2">
        <v>0</v>
      </c>
      <c r="AQ390" s="2">
        <v>0</v>
      </c>
      <c r="AR390" s="2">
        <v>0</v>
      </c>
      <c r="AS390" s="2">
        <v>0</v>
      </c>
      <c r="AT390" s="2">
        <v>0</v>
      </c>
      <c r="AU390" s="2">
        <v>0</v>
      </c>
      <c r="AV390" s="2">
        <v>0</v>
      </c>
      <c r="AW390" s="1">
        <v>386</v>
      </c>
    </row>
    <row r="391" spans="1:49" ht="12.75">
      <c r="A391" s="5">
        <v>4010</v>
      </c>
      <c r="B391" s="2" t="s">
        <v>1319</v>
      </c>
      <c r="C391" s="305">
        <v>0</v>
      </c>
      <c r="D391" s="305">
        <v>0</v>
      </c>
      <c r="E391" s="305">
        <v>-2159.74</v>
      </c>
      <c r="F391" s="305">
        <v>0</v>
      </c>
      <c r="G391" s="305">
        <v>0</v>
      </c>
      <c r="H391" s="305">
        <v>5375.71</v>
      </c>
      <c r="I391" s="305">
        <v>0</v>
      </c>
      <c r="J391" s="1" t="s">
        <v>802</v>
      </c>
      <c r="K391" s="3" t="s">
        <v>982</v>
      </c>
      <c r="L391" s="365"/>
      <c r="M391" s="2">
        <v>0</v>
      </c>
      <c r="N391" s="311">
        <v>410</v>
      </c>
      <c r="O391" s="310" t="s">
        <v>1190</v>
      </c>
      <c r="P391" s="309">
        <v>40</v>
      </c>
      <c r="Q391" s="60" t="s">
        <v>456</v>
      </c>
      <c r="R391" s="309">
        <v>5025</v>
      </c>
      <c r="S391" s="60" t="s">
        <v>204</v>
      </c>
      <c r="T391" s="61">
        <v>140</v>
      </c>
      <c r="U391" s="60" t="s">
        <v>504</v>
      </c>
      <c r="V391" s="1">
        <v>3</v>
      </c>
      <c r="W391" s="1" t="s">
        <v>37</v>
      </c>
      <c r="X391" s="1" t="s">
        <v>1226</v>
      </c>
      <c r="Y391" s="2">
        <v>0</v>
      </c>
      <c r="Z391" s="2">
        <v>0</v>
      </c>
      <c r="AA391" s="2">
        <v>0</v>
      </c>
      <c r="AB391" s="2">
        <v>0</v>
      </c>
      <c r="AC391" s="2">
        <v>0</v>
      </c>
      <c r="AD391" s="2">
        <v>0</v>
      </c>
      <c r="AE391" s="2">
        <v>0</v>
      </c>
      <c r="AF391" s="2">
        <v>2083.89</v>
      </c>
      <c r="AG391" s="2">
        <v>5451.56</v>
      </c>
      <c r="AH391" s="2">
        <v>0</v>
      </c>
      <c r="AI391" s="2">
        <v>0</v>
      </c>
      <c r="AJ391" s="2">
        <v>-2159.74</v>
      </c>
      <c r="AK391" s="2">
        <v>0</v>
      </c>
      <c r="AL391" s="2">
        <v>0</v>
      </c>
      <c r="AM391" s="2">
        <v>0</v>
      </c>
      <c r="AN391" s="2">
        <v>0</v>
      </c>
      <c r="AO391" s="2">
        <v>0</v>
      </c>
      <c r="AP391" s="2">
        <v>0</v>
      </c>
      <c r="AQ391" s="2">
        <v>0</v>
      </c>
      <c r="AR391" s="2">
        <v>0</v>
      </c>
      <c r="AS391" s="2">
        <v>0</v>
      </c>
      <c r="AT391" s="2">
        <v>0</v>
      </c>
      <c r="AU391" s="2">
        <v>0</v>
      </c>
      <c r="AV391" s="2">
        <v>0</v>
      </c>
      <c r="AW391" s="1">
        <v>387</v>
      </c>
    </row>
    <row r="392" spans="1:49" ht="12.75">
      <c r="A392" s="5">
        <v>4010</v>
      </c>
      <c r="B392" s="2" t="s">
        <v>1320</v>
      </c>
      <c r="C392" s="305">
        <v>0</v>
      </c>
      <c r="D392" s="305">
        <v>0</v>
      </c>
      <c r="E392" s="305">
        <v>9489.41</v>
      </c>
      <c r="F392" s="305">
        <v>0</v>
      </c>
      <c r="G392" s="305">
        <v>0</v>
      </c>
      <c r="H392" s="305">
        <v>56195.79</v>
      </c>
      <c r="I392" s="305">
        <v>0</v>
      </c>
      <c r="J392" s="1" t="s">
        <v>803</v>
      </c>
      <c r="K392" s="3" t="s">
        <v>982</v>
      </c>
      <c r="L392" s="365"/>
      <c r="M392" s="2">
        <v>0</v>
      </c>
      <c r="N392" s="311">
        <v>410</v>
      </c>
      <c r="O392" s="310" t="s">
        <v>1190</v>
      </c>
      <c r="P392" s="309">
        <v>40</v>
      </c>
      <c r="Q392" s="60" t="s">
        <v>456</v>
      </c>
      <c r="R392" s="309">
        <v>5025</v>
      </c>
      <c r="S392" s="60" t="s">
        <v>204</v>
      </c>
      <c r="T392" s="61">
        <v>250</v>
      </c>
      <c r="U392" s="60" t="s">
        <v>505</v>
      </c>
      <c r="V392" s="1">
        <v>3</v>
      </c>
      <c r="W392" s="1" t="s">
        <v>37</v>
      </c>
      <c r="X392" s="1" t="s">
        <v>1314</v>
      </c>
      <c r="Y392" s="2">
        <v>3582</v>
      </c>
      <c r="Z392" s="2">
        <v>3657</v>
      </c>
      <c r="AA392" s="2">
        <v>3858</v>
      </c>
      <c r="AB392" s="2">
        <v>6276</v>
      </c>
      <c r="AC392" s="2">
        <v>8819</v>
      </c>
      <c r="AD392" s="2">
        <v>6132</v>
      </c>
      <c r="AE392" s="2">
        <v>6564</v>
      </c>
      <c r="AF392" s="2">
        <v>5449</v>
      </c>
      <c r="AG392" s="2">
        <v>2369.38</v>
      </c>
      <c r="AH392" s="2">
        <v>0</v>
      </c>
      <c r="AI392" s="2">
        <v>0</v>
      </c>
      <c r="AJ392" s="2">
        <v>9489.41</v>
      </c>
      <c r="AK392" s="2">
        <v>0</v>
      </c>
      <c r="AL392" s="2">
        <v>0</v>
      </c>
      <c r="AM392" s="2">
        <v>0</v>
      </c>
      <c r="AN392" s="2">
        <v>0</v>
      </c>
      <c r="AO392" s="2">
        <v>0</v>
      </c>
      <c r="AP392" s="2">
        <v>0</v>
      </c>
      <c r="AQ392" s="2">
        <v>0</v>
      </c>
      <c r="AR392" s="2">
        <v>0</v>
      </c>
      <c r="AS392" s="2">
        <v>0</v>
      </c>
      <c r="AT392" s="2">
        <v>0</v>
      </c>
      <c r="AU392" s="2">
        <v>0</v>
      </c>
      <c r="AV392" s="2">
        <v>0</v>
      </c>
      <c r="AW392" s="1">
        <v>388</v>
      </c>
    </row>
    <row r="393" spans="1:49" ht="12.75">
      <c r="A393" s="5">
        <v>4010</v>
      </c>
      <c r="B393" s="2" t="s">
        <v>1321</v>
      </c>
      <c r="C393" s="305">
        <v>0</v>
      </c>
      <c r="D393" s="305">
        <v>0</v>
      </c>
      <c r="E393" s="305">
        <v>15092.96</v>
      </c>
      <c r="F393" s="305">
        <v>0</v>
      </c>
      <c r="G393" s="305">
        <v>0</v>
      </c>
      <c r="H393" s="305">
        <v>15092.96</v>
      </c>
      <c r="I393" s="305">
        <v>0</v>
      </c>
      <c r="J393" s="1" t="s">
        <v>1056</v>
      </c>
      <c r="K393" s="3" t="s">
        <v>982</v>
      </c>
      <c r="L393" s="365"/>
      <c r="M393" s="2">
        <v>0</v>
      </c>
      <c r="N393" s="311">
        <v>410</v>
      </c>
      <c r="O393" s="310" t="s">
        <v>1190</v>
      </c>
      <c r="P393" s="309">
        <v>40</v>
      </c>
      <c r="Q393" s="60" t="s">
        <v>456</v>
      </c>
      <c r="R393" s="309">
        <v>5025</v>
      </c>
      <c r="S393" s="60" t="s">
        <v>204</v>
      </c>
      <c r="T393" s="61">
        <v>140</v>
      </c>
      <c r="U393" s="60" t="s">
        <v>504</v>
      </c>
      <c r="V393" s="1">
        <v>3</v>
      </c>
      <c r="W393" s="1" t="s">
        <v>37</v>
      </c>
      <c r="X393" s="1" t="s">
        <v>1322</v>
      </c>
      <c r="Y393" s="2">
        <v>0</v>
      </c>
      <c r="Z393" s="2">
        <v>0</v>
      </c>
      <c r="AA393" s="2">
        <v>0</v>
      </c>
      <c r="AB393" s="2">
        <v>0</v>
      </c>
      <c r="AC393" s="2">
        <v>0</v>
      </c>
      <c r="AD393" s="2">
        <v>0</v>
      </c>
      <c r="AE393" s="2">
        <v>0</v>
      </c>
      <c r="AF393" s="2">
        <v>0</v>
      </c>
      <c r="AG393" s="2">
        <v>0</v>
      </c>
      <c r="AH393" s="2">
        <v>0</v>
      </c>
      <c r="AI393" s="2">
        <v>0</v>
      </c>
      <c r="AJ393" s="2">
        <v>15092.96</v>
      </c>
      <c r="AK393" s="2">
        <v>0</v>
      </c>
      <c r="AL393" s="2">
        <v>0</v>
      </c>
      <c r="AM393" s="2">
        <v>0</v>
      </c>
      <c r="AN393" s="2">
        <v>0</v>
      </c>
      <c r="AO393" s="2">
        <v>0</v>
      </c>
      <c r="AP393" s="2">
        <v>0</v>
      </c>
      <c r="AQ393" s="2">
        <v>0</v>
      </c>
      <c r="AR393" s="2">
        <v>0</v>
      </c>
      <c r="AS393" s="2">
        <v>0</v>
      </c>
      <c r="AT393" s="2">
        <v>0</v>
      </c>
      <c r="AU393" s="2">
        <v>0</v>
      </c>
      <c r="AV393" s="2">
        <v>0</v>
      </c>
      <c r="AW393" s="1">
        <v>389</v>
      </c>
    </row>
    <row r="394" spans="1:49" ht="12.75">
      <c r="A394" s="5">
        <v>4010</v>
      </c>
      <c r="B394" s="2" t="s">
        <v>1323</v>
      </c>
      <c r="C394" s="305">
        <v>0</v>
      </c>
      <c r="D394" s="305">
        <v>0</v>
      </c>
      <c r="E394" s="305">
        <v>189.12</v>
      </c>
      <c r="F394" s="305">
        <v>0</v>
      </c>
      <c r="G394" s="305">
        <v>0</v>
      </c>
      <c r="H394" s="305">
        <v>189.12</v>
      </c>
      <c r="I394" s="305">
        <v>0</v>
      </c>
      <c r="J394" s="1" t="s">
        <v>1059</v>
      </c>
      <c r="K394" s="3" t="s">
        <v>982</v>
      </c>
      <c r="L394" s="365"/>
      <c r="M394" s="2">
        <v>0</v>
      </c>
      <c r="N394" s="311">
        <v>410</v>
      </c>
      <c r="O394" s="310" t="s">
        <v>1190</v>
      </c>
      <c r="P394" s="309">
        <v>40</v>
      </c>
      <c r="Q394" s="60" t="s">
        <v>456</v>
      </c>
      <c r="R394" s="309">
        <v>150</v>
      </c>
      <c r="S394" s="60" t="s">
        <v>1060</v>
      </c>
      <c r="T394" s="61">
        <v>150</v>
      </c>
      <c r="U394" s="60" t="s">
        <v>1060</v>
      </c>
      <c r="V394" s="1">
        <v>3</v>
      </c>
      <c r="W394" s="1" t="s">
        <v>37</v>
      </c>
      <c r="X394" s="1" t="s">
        <v>1226</v>
      </c>
      <c r="Y394" s="2">
        <v>0</v>
      </c>
      <c r="Z394" s="2">
        <v>0</v>
      </c>
      <c r="AA394" s="2">
        <v>0</v>
      </c>
      <c r="AB394" s="2">
        <v>0</v>
      </c>
      <c r="AC394" s="2">
        <v>0</v>
      </c>
      <c r="AD394" s="2">
        <v>0</v>
      </c>
      <c r="AE394" s="2">
        <v>0</v>
      </c>
      <c r="AF394" s="2">
        <v>0</v>
      </c>
      <c r="AG394" s="2">
        <v>0</v>
      </c>
      <c r="AH394" s="2">
        <v>0</v>
      </c>
      <c r="AI394" s="2">
        <v>0</v>
      </c>
      <c r="AJ394" s="2">
        <v>189.12</v>
      </c>
      <c r="AK394" s="2">
        <v>0</v>
      </c>
      <c r="AL394" s="2">
        <v>0</v>
      </c>
      <c r="AM394" s="2">
        <v>0</v>
      </c>
      <c r="AN394" s="2">
        <v>0</v>
      </c>
      <c r="AO394" s="2">
        <v>0</v>
      </c>
      <c r="AP394" s="2">
        <v>0</v>
      </c>
      <c r="AQ394" s="2">
        <v>0</v>
      </c>
      <c r="AR394" s="2">
        <v>0</v>
      </c>
      <c r="AS394" s="2">
        <v>0</v>
      </c>
      <c r="AT394" s="2">
        <v>0</v>
      </c>
      <c r="AU394" s="2">
        <v>0</v>
      </c>
      <c r="AV394" s="2">
        <v>0</v>
      </c>
      <c r="AW394" s="1">
        <v>390</v>
      </c>
    </row>
    <row r="395" spans="1:49" ht="12.75">
      <c r="A395" s="5">
        <v>4010</v>
      </c>
      <c r="B395" s="2" t="s">
        <v>1324</v>
      </c>
      <c r="C395" s="305">
        <v>0</v>
      </c>
      <c r="D395" s="305">
        <v>0</v>
      </c>
      <c r="E395" s="305">
        <v>265.84</v>
      </c>
      <c r="F395" s="305">
        <v>0</v>
      </c>
      <c r="G395" s="305">
        <v>0</v>
      </c>
      <c r="H395" s="305">
        <v>265.84</v>
      </c>
      <c r="I395" s="305">
        <v>0</v>
      </c>
      <c r="J395" s="1" t="s">
        <v>1062</v>
      </c>
      <c r="K395" s="3" t="s">
        <v>982</v>
      </c>
      <c r="L395" s="365"/>
      <c r="M395" s="2">
        <v>0</v>
      </c>
      <c r="N395" s="311">
        <v>410</v>
      </c>
      <c r="O395" s="310" t="s">
        <v>1190</v>
      </c>
      <c r="P395" s="309">
        <v>40</v>
      </c>
      <c r="Q395" s="60" t="s">
        <v>456</v>
      </c>
      <c r="R395" s="309">
        <v>150</v>
      </c>
      <c r="S395" s="60" t="s">
        <v>1060</v>
      </c>
      <c r="T395" s="61">
        <v>150</v>
      </c>
      <c r="U395" s="60" t="s">
        <v>1060</v>
      </c>
      <c r="V395" s="1">
        <v>3</v>
      </c>
      <c r="W395" s="1" t="s">
        <v>37</v>
      </c>
      <c r="X395" s="1" t="s">
        <v>1226</v>
      </c>
      <c r="Y395" s="2">
        <v>0</v>
      </c>
      <c r="Z395" s="2">
        <v>0</v>
      </c>
      <c r="AA395" s="2">
        <v>0</v>
      </c>
      <c r="AB395" s="2">
        <v>0</v>
      </c>
      <c r="AC395" s="2">
        <v>0</v>
      </c>
      <c r="AD395" s="2">
        <v>0</v>
      </c>
      <c r="AE395" s="2">
        <v>0</v>
      </c>
      <c r="AF395" s="2">
        <v>0</v>
      </c>
      <c r="AG395" s="2">
        <v>0</v>
      </c>
      <c r="AH395" s="2">
        <v>0</v>
      </c>
      <c r="AI395" s="2">
        <v>0</v>
      </c>
      <c r="AJ395" s="2">
        <v>265.84</v>
      </c>
      <c r="AK395" s="2">
        <v>0</v>
      </c>
      <c r="AL395" s="2">
        <v>0</v>
      </c>
      <c r="AM395" s="2">
        <v>0</v>
      </c>
      <c r="AN395" s="2">
        <v>0</v>
      </c>
      <c r="AO395" s="2">
        <v>0</v>
      </c>
      <c r="AP395" s="2">
        <v>0</v>
      </c>
      <c r="AQ395" s="2">
        <v>0</v>
      </c>
      <c r="AR395" s="2">
        <v>0</v>
      </c>
      <c r="AS395" s="2">
        <v>0</v>
      </c>
      <c r="AT395" s="2">
        <v>0</v>
      </c>
      <c r="AU395" s="2">
        <v>0</v>
      </c>
      <c r="AV395" s="2">
        <v>0</v>
      </c>
      <c r="AW395" s="1">
        <v>391</v>
      </c>
    </row>
    <row r="396" spans="1:49" ht="12.75">
      <c r="A396" s="5">
        <v>4010</v>
      </c>
      <c r="B396" s="2" t="s">
        <v>1325</v>
      </c>
      <c r="C396" s="305">
        <v>0</v>
      </c>
      <c r="D396" s="305">
        <v>0</v>
      </c>
      <c r="E396" s="305">
        <v>10722.72</v>
      </c>
      <c r="F396" s="305">
        <v>0</v>
      </c>
      <c r="G396" s="305">
        <v>0</v>
      </c>
      <c r="H396" s="305">
        <v>47638.37</v>
      </c>
      <c r="I396" s="305">
        <v>0</v>
      </c>
      <c r="J396" s="1" t="s">
        <v>804</v>
      </c>
      <c r="K396" s="3" t="s">
        <v>982</v>
      </c>
      <c r="L396" s="365"/>
      <c r="M396" s="2">
        <v>0</v>
      </c>
      <c r="N396" s="311">
        <v>410</v>
      </c>
      <c r="O396" s="310" t="s">
        <v>1190</v>
      </c>
      <c r="P396" s="309">
        <v>40</v>
      </c>
      <c r="Q396" s="60" t="s">
        <v>456</v>
      </c>
      <c r="R396" s="309">
        <v>5027</v>
      </c>
      <c r="S396" s="60" t="s">
        <v>206</v>
      </c>
      <c r="T396" s="61">
        <v>160</v>
      </c>
      <c r="U396" s="60" t="s">
        <v>716</v>
      </c>
      <c r="V396" s="1">
        <v>3</v>
      </c>
      <c r="W396" s="1" t="s">
        <v>37</v>
      </c>
      <c r="X396" s="1" t="s">
        <v>1234</v>
      </c>
      <c r="Y396" s="2">
        <v>4132</v>
      </c>
      <c r="Z396" s="2">
        <v>3209.35</v>
      </c>
      <c r="AA396" s="2">
        <v>3150.76</v>
      </c>
      <c r="AB396" s="2">
        <v>5019.82</v>
      </c>
      <c r="AC396" s="2">
        <v>7353.97</v>
      </c>
      <c r="AD396" s="2">
        <v>3518.71</v>
      </c>
      <c r="AE396" s="2">
        <v>3823.69</v>
      </c>
      <c r="AF396" s="2">
        <v>3893.92</v>
      </c>
      <c r="AG396" s="2">
        <v>2813.43</v>
      </c>
      <c r="AH396" s="2">
        <v>0</v>
      </c>
      <c r="AI396" s="2">
        <v>0</v>
      </c>
      <c r="AJ396" s="2">
        <v>10722.72</v>
      </c>
      <c r="AK396" s="2">
        <v>0</v>
      </c>
      <c r="AL396" s="2">
        <v>0</v>
      </c>
      <c r="AM396" s="2">
        <v>0</v>
      </c>
      <c r="AN396" s="2">
        <v>0</v>
      </c>
      <c r="AO396" s="2">
        <v>0</v>
      </c>
      <c r="AP396" s="2">
        <v>0</v>
      </c>
      <c r="AQ396" s="2">
        <v>0</v>
      </c>
      <c r="AR396" s="2">
        <v>0</v>
      </c>
      <c r="AS396" s="2">
        <v>0</v>
      </c>
      <c r="AT396" s="2">
        <v>0</v>
      </c>
      <c r="AU396" s="2">
        <v>0</v>
      </c>
      <c r="AV396" s="2">
        <v>0</v>
      </c>
      <c r="AW396" s="1">
        <v>392</v>
      </c>
    </row>
    <row r="397" spans="1:49" ht="12.75">
      <c r="A397" s="5">
        <v>4010</v>
      </c>
      <c r="B397" s="2" t="s">
        <v>1326</v>
      </c>
      <c r="C397" s="305">
        <v>0</v>
      </c>
      <c r="D397" s="305">
        <v>0</v>
      </c>
      <c r="E397" s="305">
        <v>3507.22</v>
      </c>
      <c r="F397" s="305">
        <v>0</v>
      </c>
      <c r="G397" s="305">
        <v>0</v>
      </c>
      <c r="H397" s="305">
        <v>7051.63</v>
      </c>
      <c r="I397" s="305">
        <v>0</v>
      </c>
      <c r="J397" s="1" t="s">
        <v>805</v>
      </c>
      <c r="K397" s="3" t="s">
        <v>982</v>
      </c>
      <c r="L397" s="365"/>
      <c r="M397" s="2">
        <v>0</v>
      </c>
      <c r="N397" s="311">
        <v>410</v>
      </c>
      <c r="O397" s="310" t="s">
        <v>1190</v>
      </c>
      <c r="P397" s="309">
        <v>40</v>
      </c>
      <c r="Q397" s="60" t="s">
        <v>456</v>
      </c>
      <c r="R397" s="309">
        <v>5027</v>
      </c>
      <c r="S397" s="60" t="s">
        <v>206</v>
      </c>
      <c r="T397" s="61">
        <v>160</v>
      </c>
      <c r="U397" s="60" t="s">
        <v>716</v>
      </c>
      <c r="V397" s="1">
        <v>3</v>
      </c>
      <c r="W397" s="1" t="s">
        <v>37</v>
      </c>
      <c r="X397" s="1" t="s">
        <v>1327</v>
      </c>
      <c r="Y397" s="2">
        <v>338.07</v>
      </c>
      <c r="Z397" s="2">
        <v>415.17</v>
      </c>
      <c r="AA397" s="2">
        <v>305.37</v>
      </c>
      <c r="AB397" s="2">
        <v>633.89</v>
      </c>
      <c r="AC397" s="2">
        <v>592.9</v>
      </c>
      <c r="AD397" s="2">
        <v>471.81</v>
      </c>
      <c r="AE397" s="2">
        <v>480.07</v>
      </c>
      <c r="AF397" s="2">
        <v>307.13</v>
      </c>
      <c r="AG397" s="2">
        <v>0</v>
      </c>
      <c r="AH397" s="2">
        <v>0</v>
      </c>
      <c r="AI397" s="2">
        <v>0</v>
      </c>
      <c r="AJ397" s="2">
        <v>3507.22</v>
      </c>
      <c r="AK397" s="2">
        <v>0</v>
      </c>
      <c r="AL397" s="2">
        <v>0</v>
      </c>
      <c r="AM397" s="2">
        <v>0</v>
      </c>
      <c r="AN397" s="2">
        <v>0</v>
      </c>
      <c r="AO397" s="2">
        <v>0</v>
      </c>
      <c r="AP397" s="2">
        <v>0</v>
      </c>
      <c r="AQ397" s="2">
        <v>0</v>
      </c>
      <c r="AR397" s="2">
        <v>0</v>
      </c>
      <c r="AS397" s="2">
        <v>0</v>
      </c>
      <c r="AT397" s="2">
        <v>0</v>
      </c>
      <c r="AU397" s="2">
        <v>0</v>
      </c>
      <c r="AV397" s="2">
        <v>0</v>
      </c>
      <c r="AW397" s="1">
        <v>393</v>
      </c>
    </row>
    <row r="398" spans="1:49" ht="12.75">
      <c r="A398" s="5">
        <v>4010</v>
      </c>
      <c r="B398" s="2" t="s">
        <v>1328</v>
      </c>
      <c r="C398" s="305">
        <v>0</v>
      </c>
      <c r="D398" s="305">
        <v>0</v>
      </c>
      <c r="E398" s="305">
        <v>37495.96</v>
      </c>
      <c r="F398" s="305">
        <v>0</v>
      </c>
      <c r="G398" s="305">
        <v>0</v>
      </c>
      <c r="H398" s="305">
        <v>451358.47</v>
      </c>
      <c r="I398" s="305">
        <v>0</v>
      </c>
      <c r="J398" s="1" t="s">
        <v>806</v>
      </c>
      <c r="K398" s="3" t="s">
        <v>982</v>
      </c>
      <c r="L398" s="365"/>
      <c r="M398" s="2">
        <v>0</v>
      </c>
      <c r="N398" s="311">
        <v>410</v>
      </c>
      <c r="O398" s="310" t="s">
        <v>1190</v>
      </c>
      <c r="P398" s="309">
        <v>40</v>
      </c>
      <c r="Q398" s="60" t="s">
        <v>456</v>
      </c>
      <c r="R398" s="309">
        <v>5027</v>
      </c>
      <c r="S398" s="60" t="s">
        <v>206</v>
      </c>
      <c r="T398" s="61">
        <v>160</v>
      </c>
      <c r="U398" s="60" t="s">
        <v>716</v>
      </c>
      <c r="V398" s="1">
        <v>3</v>
      </c>
      <c r="W398" s="1" t="s">
        <v>37</v>
      </c>
      <c r="X398" s="1" t="s">
        <v>1231</v>
      </c>
      <c r="Y398" s="2">
        <v>38470.83</v>
      </c>
      <c r="Z398" s="2">
        <v>41106.04</v>
      </c>
      <c r="AA398" s="2">
        <v>45007.32</v>
      </c>
      <c r="AB398" s="2">
        <v>51993.05</v>
      </c>
      <c r="AC398" s="2">
        <v>75015.81</v>
      </c>
      <c r="AD398" s="2">
        <v>52133.38</v>
      </c>
      <c r="AE398" s="2">
        <v>39163.94</v>
      </c>
      <c r="AF398" s="2">
        <v>37622.63</v>
      </c>
      <c r="AG398" s="2">
        <v>33349.51</v>
      </c>
      <c r="AH398" s="2">
        <v>0</v>
      </c>
      <c r="AI398" s="2">
        <v>0</v>
      </c>
      <c r="AJ398" s="2">
        <v>37495.96</v>
      </c>
      <c r="AK398" s="2">
        <v>0</v>
      </c>
      <c r="AL398" s="2">
        <v>0</v>
      </c>
      <c r="AM398" s="2">
        <v>0</v>
      </c>
      <c r="AN398" s="2">
        <v>0</v>
      </c>
      <c r="AO398" s="2">
        <v>0</v>
      </c>
      <c r="AP398" s="2">
        <v>0</v>
      </c>
      <c r="AQ398" s="2">
        <v>0</v>
      </c>
      <c r="AR398" s="2">
        <v>0</v>
      </c>
      <c r="AS398" s="2">
        <v>0</v>
      </c>
      <c r="AT398" s="2">
        <v>0</v>
      </c>
      <c r="AU398" s="2">
        <v>0</v>
      </c>
      <c r="AV398" s="2">
        <v>0</v>
      </c>
      <c r="AW398" s="1">
        <v>394</v>
      </c>
    </row>
    <row r="399" spans="1:49" ht="12.75">
      <c r="A399" s="5">
        <v>4010</v>
      </c>
      <c r="B399" s="2" t="s">
        <v>1329</v>
      </c>
      <c r="C399" s="305">
        <v>0</v>
      </c>
      <c r="D399" s="305">
        <v>0</v>
      </c>
      <c r="E399" s="305">
        <v>40556.33</v>
      </c>
      <c r="F399" s="305">
        <v>0</v>
      </c>
      <c r="G399" s="305">
        <v>0</v>
      </c>
      <c r="H399" s="305">
        <v>342017.68</v>
      </c>
      <c r="I399" s="305">
        <v>0</v>
      </c>
      <c r="J399" s="1" t="s">
        <v>807</v>
      </c>
      <c r="K399" s="3" t="s">
        <v>982</v>
      </c>
      <c r="L399" s="365"/>
      <c r="M399" s="2">
        <v>0</v>
      </c>
      <c r="N399" s="311">
        <v>410</v>
      </c>
      <c r="O399" s="310" t="s">
        <v>1190</v>
      </c>
      <c r="P399" s="309">
        <v>40</v>
      </c>
      <c r="Q399" s="60" t="s">
        <v>456</v>
      </c>
      <c r="R399" s="309">
        <v>5027</v>
      </c>
      <c r="S399" s="60" t="s">
        <v>206</v>
      </c>
      <c r="T399" s="61">
        <v>160</v>
      </c>
      <c r="U399" s="60" t="s">
        <v>716</v>
      </c>
      <c r="V399" s="1">
        <v>3</v>
      </c>
      <c r="W399" s="1" t="s">
        <v>37</v>
      </c>
      <c r="X399" s="1" t="s">
        <v>1237</v>
      </c>
      <c r="Y399" s="2">
        <v>3729.72</v>
      </c>
      <c r="Z399" s="2">
        <v>4877.04</v>
      </c>
      <c r="AA399" s="2">
        <v>11868.96</v>
      </c>
      <c r="AB399" s="2">
        <v>40702.52</v>
      </c>
      <c r="AC399" s="2">
        <v>69033.42</v>
      </c>
      <c r="AD399" s="2">
        <v>58539.05</v>
      </c>
      <c r="AE399" s="2">
        <v>67260.46</v>
      </c>
      <c r="AF399" s="2">
        <v>38882.64</v>
      </c>
      <c r="AG399" s="2">
        <v>6567.54</v>
      </c>
      <c r="AH399" s="2">
        <v>0</v>
      </c>
      <c r="AI399" s="2">
        <v>0</v>
      </c>
      <c r="AJ399" s="2">
        <v>40556.33</v>
      </c>
      <c r="AK399" s="2">
        <v>0</v>
      </c>
      <c r="AL399" s="2">
        <v>0</v>
      </c>
      <c r="AM399" s="2">
        <v>0</v>
      </c>
      <c r="AN399" s="2">
        <v>0</v>
      </c>
      <c r="AO399" s="2">
        <v>0</v>
      </c>
      <c r="AP399" s="2">
        <v>0</v>
      </c>
      <c r="AQ399" s="2">
        <v>0</v>
      </c>
      <c r="AR399" s="2">
        <v>0</v>
      </c>
      <c r="AS399" s="2">
        <v>0</v>
      </c>
      <c r="AT399" s="2">
        <v>0</v>
      </c>
      <c r="AU399" s="2">
        <v>0</v>
      </c>
      <c r="AV399" s="2">
        <v>0</v>
      </c>
      <c r="AW399" s="1">
        <v>395</v>
      </c>
    </row>
    <row r="400" spans="1:49" ht="12.75">
      <c r="A400" s="5">
        <v>4010</v>
      </c>
      <c r="B400" s="2" t="s">
        <v>1330</v>
      </c>
      <c r="C400" s="305">
        <v>0</v>
      </c>
      <c r="D400" s="305">
        <v>0</v>
      </c>
      <c r="E400" s="305">
        <v>6800.42</v>
      </c>
      <c r="F400" s="305">
        <v>0</v>
      </c>
      <c r="G400" s="305">
        <v>0</v>
      </c>
      <c r="H400" s="305">
        <v>7600</v>
      </c>
      <c r="I400" s="305">
        <v>0</v>
      </c>
      <c r="J400" s="1" t="s">
        <v>808</v>
      </c>
      <c r="K400" s="3" t="s">
        <v>982</v>
      </c>
      <c r="L400" s="365"/>
      <c r="M400" s="2">
        <v>0</v>
      </c>
      <c r="N400" s="311">
        <v>410</v>
      </c>
      <c r="O400" s="310" t="s">
        <v>1190</v>
      </c>
      <c r="P400" s="309">
        <v>40</v>
      </c>
      <c r="Q400" s="60" t="s">
        <v>456</v>
      </c>
      <c r="R400" s="309">
        <v>5027</v>
      </c>
      <c r="S400" s="60" t="s">
        <v>206</v>
      </c>
      <c r="T400" s="61">
        <v>160</v>
      </c>
      <c r="U400" s="60" t="s">
        <v>716</v>
      </c>
      <c r="V400" s="1">
        <v>3</v>
      </c>
      <c r="W400" s="1" t="s">
        <v>37</v>
      </c>
      <c r="X400" s="1" t="s">
        <v>1331</v>
      </c>
      <c r="Y400" s="2">
        <v>52.14</v>
      </c>
      <c r="Z400" s="2">
        <v>69.53</v>
      </c>
      <c r="AA400" s="2">
        <v>156.45</v>
      </c>
      <c r="AB400" s="2">
        <v>173.83</v>
      </c>
      <c r="AC400" s="2">
        <v>121.68</v>
      </c>
      <c r="AD400" s="2">
        <v>173.81</v>
      </c>
      <c r="AE400" s="2">
        <v>17.38</v>
      </c>
      <c r="AF400" s="2">
        <v>34.76</v>
      </c>
      <c r="AG400" s="2">
        <v>0</v>
      </c>
      <c r="AH400" s="2">
        <v>0</v>
      </c>
      <c r="AI400" s="2">
        <v>0</v>
      </c>
      <c r="AJ400" s="2">
        <v>6800.42</v>
      </c>
      <c r="AK400" s="2">
        <v>0</v>
      </c>
      <c r="AL400" s="2">
        <v>0</v>
      </c>
      <c r="AM400" s="2">
        <v>0</v>
      </c>
      <c r="AN400" s="2">
        <v>0</v>
      </c>
      <c r="AO400" s="2">
        <v>0</v>
      </c>
      <c r="AP400" s="2">
        <v>0</v>
      </c>
      <c r="AQ400" s="2">
        <v>0</v>
      </c>
      <c r="AR400" s="2">
        <v>0</v>
      </c>
      <c r="AS400" s="2">
        <v>0</v>
      </c>
      <c r="AT400" s="2">
        <v>0</v>
      </c>
      <c r="AU400" s="2">
        <v>0</v>
      </c>
      <c r="AV400" s="2">
        <v>0</v>
      </c>
      <c r="AW400" s="1">
        <v>396</v>
      </c>
    </row>
    <row r="401" spans="1:49" ht="12.75">
      <c r="A401" s="5">
        <v>4010</v>
      </c>
      <c r="B401" s="2" t="s">
        <v>1332</v>
      </c>
      <c r="C401" s="305">
        <v>0</v>
      </c>
      <c r="D401" s="305">
        <v>0</v>
      </c>
      <c r="E401" s="305">
        <v>22782.24</v>
      </c>
      <c r="F401" s="305">
        <v>0</v>
      </c>
      <c r="G401" s="305">
        <v>0</v>
      </c>
      <c r="H401" s="305">
        <v>21255.53</v>
      </c>
      <c r="I401" s="305">
        <v>0</v>
      </c>
      <c r="J401" s="1" t="s">
        <v>809</v>
      </c>
      <c r="K401" s="3" t="s">
        <v>982</v>
      </c>
      <c r="L401" s="365"/>
      <c r="M401" s="2">
        <v>0</v>
      </c>
      <c r="N401" s="311">
        <v>410</v>
      </c>
      <c r="O401" s="310" t="s">
        <v>1190</v>
      </c>
      <c r="P401" s="309">
        <v>40</v>
      </c>
      <c r="Q401" s="60" t="s">
        <v>456</v>
      </c>
      <c r="R401" s="309">
        <v>5028</v>
      </c>
      <c r="S401" s="60" t="s">
        <v>207</v>
      </c>
      <c r="T401" s="61">
        <v>170</v>
      </c>
      <c r="U401" s="60" t="s">
        <v>501</v>
      </c>
      <c r="V401" s="1">
        <v>3</v>
      </c>
      <c r="W401" s="1" t="s">
        <v>37</v>
      </c>
      <c r="X401" s="1" t="s">
        <v>1333</v>
      </c>
      <c r="Y401" s="2">
        <v>-836.49</v>
      </c>
      <c r="Z401" s="2">
        <v>-617.5</v>
      </c>
      <c r="AA401" s="2">
        <v>-730.03</v>
      </c>
      <c r="AB401" s="2">
        <v>-1118.01</v>
      </c>
      <c r="AC401" s="2">
        <v>-1653.58</v>
      </c>
      <c r="AD401" s="2">
        <v>-787.32</v>
      </c>
      <c r="AE401" s="2">
        <v>1467.6</v>
      </c>
      <c r="AF401" s="2">
        <v>1437.81</v>
      </c>
      <c r="AG401" s="2">
        <v>1310.81</v>
      </c>
      <c r="AH401" s="2">
        <v>0</v>
      </c>
      <c r="AI401" s="2">
        <v>0</v>
      </c>
      <c r="AJ401" s="2">
        <v>22782.24</v>
      </c>
      <c r="AK401" s="2">
        <v>0</v>
      </c>
      <c r="AL401" s="2">
        <v>0</v>
      </c>
      <c r="AM401" s="2">
        <v>0</v>
      </c>
      <c r="AN401" s="2">
        <v>0</v>
      </c>
      <c r="AO401" s="2">
        <v>0</v>
      </c>
      <c r="AP401" s="2">
        <v>0</v>
      </c>
      <c r="AQ401" s="2">
        <v>0</v>
      </c>
      <c r="AR401" s="2">
        <v>0</v>
      </c>
      <c r="AS401" s="2">
        <v>0</v>
      </c>
      <c r="AT401" s="2">
        <v>0</v>
      </c>
      <c r="AU401" s="2">
        <v>0</v>
      </c>
      <c r="AV401" s="2">
        <v>0</v>
      </c>
      <c r="AW401" s="1">
        <v>397</v>
      </c>
    </row>
    <row r="402" spans="1:49" ht="12.75">
      <c r="A402" s="5">
        <v>4010</v>
      </c>
      <c r="B402" s="2" t="s">
        <v>1334</v>
      </c>
      <c r="C402" s="305">
        <v>0</v>
      </c>
      <c r="D402" s="305">
        <v>0</v>
      </c>
      <c r="E402" s="305">
        <v>4615.83</v>
      </c>
      <c r="F402" s="305">
        <v>0</v>
      </c>
      <c r="G402" s="305">
        <v>0</v>
      </c>
      <c r="H402" s="305">
        <v>29879.88</v>
      </c>
      <c r="I402" s="305">
        <v>0</v>
      </c>
      <c r="J402" s="1" t="s">
        <v>810</v>
      </c>
      <c r="K402" s="3" t="s">
        <v>982</v>
      </c>
      <c r="L402" s="365"/>
      <c r="M402" s="2">
        <v>0</v>
      </c>
      <c r="N402" s="311">
        <v>410</v>
      </c>
      <c r="O402" s="310" t="s">
        <v>1190</v>
      </c>
      <c r="P402" s="309">
        <v>40</v>
      </c>
      <c r="Q402" s="60" t="s">
        <v>456</v>
      </c>
      <c r="R402" s="309">
        <v>5028</v>
      </c>
      <c r="S402" s="60" t="s">
        <v>207</v>
      </c>
      <c r="T402" s="61">
        <v>170</v>
      </c>
      <c r="U402" s="60" t="s">
        <v>501</v>
      </c>
      <c r="V402" s="1">
        <v>3</v>
      </c>
      <c r="W402" s="1" t="s">
        <v>37</v>
      </c>
      <c r="X402" s="1" t="s">
        <v>1244</v>
      </c>
      <c r="Y402" s="2">
        <v>2963.24</v>
      </c>
      <c r="Z402" s="2">
        <v>2391.82</v>
      </c>
      <c r="AA402" s="2">
        <v>2188.97</v>
      </c>
      <c r="AB402" s="2">
        <v>3049.1</v>
      </c>
      <c r="AC402" s="2">
        <v>4322.88</v>
      </c>
      <c r="AD402" s="2">
        <v>2938.84</v>
      </c>
      <c r="AE402" s="2">
        <v>2810.91</v>
      </c>
      <c r="AF402" s="2">
        <v>2318.89</v>
      </c>
      <c r="AG402" s="2">
        <v>2279.4</v>
      </c>
      <c r="AH402" s="2">
        <v>0</v>
      </c>
      <c r="AI402" s="2">
        <v>0</v>
      </c>
      <c r="AJ402" s="2">
        <v>4615.83</v>
      </c>
      <c r="AK402" s="2">
        <v>0</v>
      </c>
      <c r="AL402" s="2">
        <v>0</v>
      </c>
      <c r="AM402" s="2">
        <v>0</v>
      </c>
      <c r="AN402" s="2">
        <v>0</v>
      </c>
      <c r="AO402" s="2">
        <v>0</v>
      </c>
      <c r="AP402" s="2">
        <v>0</v>
      </c>
      <c r="AQ402" s="2">
        <v>0</v>
      </c>
      <c r="AR402" s="2">
        <v>0</v>
      </c>
      <c r="AS402" s="2">
        <v>0</v>
      </c>
      <c r="AT402" s="2">
        <v>0</v>
      </c>
      <c r="AU402" s="2">
        <v>0</v>
      </c>
      <c r="AV402" s="2">
        <v>0</v>
      </c>
      <c r="AW402" s="1">
        <v>398</v>
      </c>
    </row>
    <row r="403" spans="1:49" ht="12.75">
      <c r="A403" s="5">
        <v>4010</v>
      </c>
      <c r="B403" s="2" t="s">
        <v>1335</v>
      </c>
      <c r="C403" s="305">
        <v>0</v>
      </c>
      <c r="D403" s="305">
        <v>0</v>
      </c>
      <c r="E403" s="305">
        <v>7382.43</v>
      </c>
      <c r="F403" s="305">
        <v>0</v>
      </c>
      <c r="G403" s="305">
        <v>0</v>
      </c>
      <c r="H403" s="305">
        <v>11322.03</v>
      </c>
      <c r="I403" s="305">
        <v>0</v>
      </c>
      <c r="J403" s="1" t="s">
        <v>811</v>
      </c>
      <c r="K403" s="3" t="s">
        <v>982</v>
      </c>
      <c r="L403" s="365"/>
      <c r="M403" s="2">
        <v>0</v>
      </c>
      <c r="N403" s="311">
        <v>410</v>
      </c>
      <c r="O403" s="310" t="s">
        <v>1190</v>
      </c>
      <c r="P403" s="309">
        <v>40</v>
      </c>
      <c r="Q403" s="60" t="s">
        <v>456</v>
      </c>
      <c r="R403" s="309">
        <v>5028</v>
      </c>
      <c r="S403" s="60" t="s">
        <v>207</v>
      </c>
      <c r="T403" s="61">
        <v>170</v>
      </c>
      <c r="U403" s="60" t="s">
        <v>501</v>
      </c>
      <c r="V403" s="1">
        <v>3</v>
      </c>
      <c r="W403" s="1" t="s">
        <v>37</v>
      </c>
      <c r="X403" s="1" t="s">
        <v>1242</v>
      </c>
      <c r="Y403" s="2">
        <v>339.54</v>
      </c>
      <c r="Z403" s="2">
        <v>379.98</v>
      </c>
      <c r="AA403" s="2">
        <v>247.9</v>
      </c>
      <c r="AB403" s="2">
        <v>499.03</v>
      </c>
      <c r="AC403" s="2">
        <v>607.2</v>
      </c>
      <c r="AD403" s="2">
        <v>558.95</v>
      </c>
      <c r="AE403" s="2">
        <v>709.6</v>
      </c>
      <c r="AF403" s="2">
        <v>471.48</v>
      </c>
      <c r="AG403" s="2">
        <v>125.92</v>
      </c>
      <c r="AH403" s="2">
        <v>0</v>
      </c>
      <c r="AI403" s="2">
        <v>0</v>
      </c>
      <c r="AJ403" s="2">
        <v>7382.43</v>
      </c>
      <c r="AK403" s="2">
        <v>0</v>
      </c>
      <c r="AL403" s="2">
        <v>0</v>
      </c>
      <c r="AM403" s="2">
        <v>0</v>
      </c>
      <c r="AN403" s="2">
        <v>0</v>
      </c>
      <c r="AO403" s="2">
        <v>0</v>
      </c>
      <c r="AP403" s="2">
        <v>0</v>
      </c>
      <c r="AQ403" s="2">
        <v>0</v>
      </c>
      <c r="AR403" s="2">
        <v>0</v>
      </c>
      <c r="AS403" s="2">
        <v>0</v>
      </c>
      <c r="AT403" s="2">
        <v>0</v>
      </c>
      <c r="AU403" s="2">
        <v>0</v>
      </c>
      <c r="AV403" s="2">
        <v>0</v>
      </c>
      <c r="AW403" s="1">
        <v>399</v>
      </c>
    </row>
    <row r="404" spans="1:49" ht="12.75">
      <c r="A404" s="5">
        <v>4010</v>
      </c>
      <c r="B404" s="2" t="s">
        <v>1336</v>
      </c>
      <c r="C404" s="305">
        <v>0</v>
      </c>
      <c r="D404" s="305">
        <v>0</v>
      </c>
      <c r="E404" s="305">
        <v>2450.2</v>
      </c>
      <c r="F404" s="305">
        <v>0</v>
      </c>
      <c r="G404" s="305">
        <v>0</v>
      </c>
      <c r="H404" s="305">
        <v>2450.2</v>
      </c>
      <c r="I404" s="305">
        <v>0</v>
      </c>
      <c r="J404" s="1" t="s">
        <v>1067</v>
      </c>
      <c r="K404" s="3" t="s">
        <v>982</v>
      </c>
      <c r="L404" s="365"/>
      <c r="M404" s="2">
        <v>0</v>
      </c>
      <c r="N404" s="311">
        <v>410</v>
      </c>
      <c r="O404" s="310" t="s">
        <v>1190</v>
      </c>
      <c r="P404" s="309">
        <v>40</v>
      </c>
      <c r="Q404" s="60" t="s">
        <v>456</v>
      </c>
      <c r="R404" s="309">
        <v>5028</v>
      </c>
      <c r="S404" s="60" t="s">
        <v>207</v>
      </c>
      <c r="T404" s="61">
        <v>170</v>
      </c>
      <c r="U404" s="60" t="s">
        <v>501</v>
      </c>
      <c r="V404" s="1">
        <v>3</v>
      </c>
      <c r="W404" s="1" t="s">
        <v>37</v>
      </c>
      <c r="X404" s="1" t="s">
        <v>1337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0</v>
      </c>
      <c r="AF404" s="2">
        <v>0</v>
      </c>
      <c r="AG404" s="2">
        <v>0</v>
      </c>
      <c r="AH404" s="2">
        <v>0</v>
      </c>
      <c r="AI404" s="2">
        <v>0</v>
      </c>
      <c r="AJ404" s="2">
        <v>2450.2</v>
      </c>
      <c r="AK404" s="2">
        <v>0</v>
      </c>
      <c r="AL404" s="2">
        <v>0</v>
      </c>
      <c r="AM404" s="2">
        <v>0</v>
      </c>
      <c r="AN404" s="2">
        <v>0</v>
      </c>
      <c r="AO404" s="2">
        <v>0</v>
      </c>
      <c r="AP404" s="2">
        <v>0</v>
      </c>
      <c r="AQ404" s="2">
        <v>0</v>
      </c>
      <c r="AR404" s="2">
        <v>0</v>
      </c>
      <c r="AS404" s="2">
        <v>0</v>
      </c>
      <c r="AT404" s="2">
        <v>0</v>
      </c>
      <c r="AU404" s="2">
        <v>0</v>
      </c>
      <c r="AV404" s="2">
        <v>0</v>
      </c>
      <c r="AW404" s="1">
        <v>400</v>
      </c>
    </row>
    <row r="405" spans="1:49" ht="12.75">
      <c r="A405" s="5">
        <v>4010</v>
      </c>
      <c r="B405" s="2" t="s">
        <v>1338</v>
      </c>
      <c r="C405" s="305">
        <v>0</v>
      </c>
      <c r="D405" s="305">
        <v>0</v>
      </c>
      <c r="E405" s="305">
        <v>-5856.27</v>
      </c>
      <c r="F405" s="305">
        <v>0</v>
      </c>
      <c r="G405" s="305">
        <v>0</v>
      </c>
      <c r="H405" s="305">
        <v>23829.14</v>
      </c>
      <c r="I405" s="305">
        <v>0</v>
      </c>
      <c r="J405" s="1" t="s">
        <v>812</v>
      </c>
      <c r="K405" s="3" t="s">
        <v>982</v>
      </c>
      <c r="L405" s="365"/>
      <c r="M405" s="2">
        <v>0</v>
      </c>
      <c r="N405" s="311">
        <v>410</v>
      </c>
      <c r="O405" s="310" t="s">
        <v>1190</v>
      </c>
      <c r="P405" s="309">
        <v>40</v>
      </c>
      <c r="Q405" s="60" t="s">
        <v>456</v>
      </c>
      <c r="R405" s="309">
        <v>5028</v>
      </c>
      <c r="S405" s="60" t="s">
        <v>207</v>
      </c>
      <c r="T405" s="61">
        <v>170</v>
      </c>
      <c r="U405" s="60" t="s">
        <v>501</v>
      </c>
      <c r="V405" s="1">
        <v>3</v>
      </c>
      <c r="W405" s="1" t="s">
        <v>37</v>
      </c>
      <c r="X405" s="1" t="s">
        <v>1339</v>
      </c>
      <c r="Y405" s="2">
        <v>2672.96</v>
      </c>
      <c r="Z405" s="2">
        <v>2484.37</v>
      </c>
      <c r="AA405" s="2">
        <v>2962.61</v>
      </c>
      <c r="AB405" s="2">
        <v>4320.97</v>
      </c>
      <c r="AC405" s="2">
        <v>6983.25</v>
      </c>
      <c r="AD405" s="2">
        <v>2498.28</v>
      </c>
      <c r="AE405" s="2">
        <v>2915.91</v>
      </c>
      <c r="AF405" s="2">
        <v>2761.82</v>
      </c>
      <c r="AG405" s="2">
        <v>2085.24</v>
      </c>
      <c r="AH405" s="2">
        <v>0</v>
      </c>
      <c r="AI405" s="2">
        <v>0</v>
      </c>
      <c r="AJ405" s="2">
        <v>-5856.27</v>
      </c>
      <c r="AK405" s="2">
        <v>0</v>
      </c>
      <c r="AL405" s="2">
        <v>0</v>
      </c>
      <c r="AM405" s="2">
        <v>0</v>
      </c>
      <c r="AN405" s="2">
        <v>0</v>
      </c>
      <c r="AO405" s="2">
        <v>0</v>
      </c>
      <c r="AP405" s="2">
        <v>0</v>
      </c>
      <c r="AQ405" s="2">
        <v>0</v>
      </c>
      <c r="AR405" s="2">
        <v>0</v>
      </c>
      <c r="AS405" s="2">
        <v>0</v>
      </c>
      <c r="AT405" s="2">
        <v>0</v>
      </c>
      <c r="AU405" s="2">
        <v>0</v>
      </c>
      <c r="AV405" s="2">
        <v>0</v>
      </c>
      <c r="AW405" s="1">
        <v>401</v>
      </c>
    </row>
    <row r="406" spans="1:49" ht="12.75">
      <c r="A406" s="5">
        <v>4010</v>
      </c>
      <c r="B406" s="2" t="s">
        <v>1340</v>
      </c>
      <c r="C406" s="305">
        <v>0</v>
      </c>
      <c r="D406" s="305">
        <v>0</v>
      </c>
      <c r="E406" s="305">
        <v>-13542.31</v>
      </c>
      <c r="F406" s="305">
        <v>0</v>
      </c>
      <c r="G406" s="305">
        <v>0</v>
      </c>
      <c r="H406" s="305">
        <v>12551.14</v>
      </c>
      <c r="I406" s="305">
        <v>0</v>
      </c>
      <c r="J406" s="1" t="s">
        <v>813</v>
      </c>
      <c r="K406" s="3" t="s">
        <v>982</v>
      </c>
      <c r="L406" s="365"/>
      <c r="M406" s="2">
        <v>0</v>
      </c>
      <c r="N406" s="311">
        <v>410</v>
      </c>
      <c r="O406" s="310" t="s">
        <v>1190</v>
      </c>
      <c r="P406" s="309">
        <v>40</v>
      </c>
      <c r="Q406" s="60" t="s">
        <v>456</v>
      </c>
      <c r="R406" s="309">
        <v>5028</v>
      </c>
      <c r="S406" s="60" t="s">
        <v>207</v>
      </c>
      <c r="T406" s="61">
        <v>170</v>
      </c>
      <c r="U406" s="60" t="s">
        <v>501</v>
      </c>
      <c r="V406" s="1">
        <v>3</v>
      </c>
      <c r="W406" s="1" t="s">
        <v>37</v>
      </c>
      <c r="X406" s="1" t="s">
        <v>1341</v>
      </c>
      <c r="Y406" s="2">
        <v>3222.55</v>
      </c>
      <c r="Z406" s="2">
        <v>3044.62</v>
      </c>
      <c r="AA406" s="2">
        <v>2521.73</v>
      </c>
      <c r="AB406" s="2">
        <v>3771.41</v>
      </c>
      <c r="AC406" s="2">
        <v>5891.61</v>
      </c>
      <c r="AD406" s="2">
        <v>2809.64</v>
      </c>
      <c r="AE406" s="2">
        <v>2419.41</v>
      </c>
      <c r="AF406" s="2">
        <v>1961.86</v>
      </c>
      <c r="AG406" s="2">
        <v>450.62</v>
      </c>
      <c r="AH406" s="2">
        <v>0</v>
      </c>
      <c r="AI406" s="2">
        <v>0</v>
      </c>
      <c r="AJ406" s="2">
        <v>-13542.31</v>
      </c>
      <c r="AK406" s="2">
        <v>0</v>
      </c>
      <c r="AL406" s="2">
        <v>0</v>
      </c>
      <c r="AM406" s="2">
        <v>0</v>
      </c>
      <c r="AN406" s="2">
        <v>0</v>
      </c>
      <c r="AO406" s="2">
        <v>0</v>
      </c>
      <c r="AP406" s="2">
        <v>0</v>
      </c>
      <c r="AQ406" s="2">
        <v>0</v>
      </c>
      <c r="AR406" s="2">
        <v>0</v>
      </c>
      <c r="AS406" s="2">
        <v>0</v>
      </c>
      <c r="AT406" s="2">
        <v>0</v>
      </c>
      <c r="AU406" s="2">
        <v>0</v>
      </c>
      <c r="AV406" s="2">
        <v>0</v>
      </c>
      <c r="AW406" s="1">
        <v>402</v>
      </c>
    </row>
    <row r="407" spans="1:49" ht="12.75">
      <c r="A407" s="5">
        <v>4010</v>
      </c>
      <c r="B407" s="2" t="s">
        <v>1342</v>
      </c>
      <c r="C407" s="305">
        <v>0</v>
      </c>
      <c r="D407" s="305">
        <v>0</v>
      </c>
      <c r="E407" s="305">
        <v>22944.03</v>
      </c>
      <c r="F407" s="305">
        <v>0</v>
      </c>
      <c r="G407" s="305">
        <v>0</v>
      </c>
      <c r="H407" s="305">
        <v>122170.29</v>
      </c>
      <c r="I407" s="305">
        <v>0</v>
      </c>
      <c r="J407" s="1" t="s">
        <v>814</v>
      </c>
      <c r="K407" s="3" t="s">
        <v>982</v>
      </c>
      <c r="L407" s="365"/>
      <c r="M407" s="2">
        <v>0</v>
      </c>
      <c r="N407" s="311">
        <v>410</v>
      </c>
      <c r="O407" s="310" t="s">
        <v>1190</v>
      </c>
      <c r="P407" s="309">
        <v>40</v>
      </c>
      <c r="Q407" s="60" t="s">
        <v>456</v>
      </c>
      <c r="R407" s="309">
        <v>5029</v>
      </c>
      <c r="S407" s="60" t="s">
        <v>208</v>
      </c>
      <c r="T407" s="61">
        <v>170</v>
      </c>
      <c r="U407" s="60" t="s">
        <v>501</v>
      </c>
      <c r="V407" s="1">
        <v>3</v>
      </c>
      <c r="W407" s="1" t="s">
        <v>37</v>
      </c>
      <c r="X407" s="1" t="s">
        <v>1240</v>
      </c>
      <c r="Y407" s="2">
        <v>10332.04</v>
      </c>
      <c r="Z407" s="2">
        <v>10766.72</v>
      </c>
      <c r="AA407" s="2">
        <v>10191</v>
      </c>
      <c r="AB407" s="2">
        <v>13834.24</v>
      </c>
      <c r="AC407" s="2">
        <v>21769.25</v>
      </c>
      <c r="AD407" s="2">
        <v>10722.51</v>
      </c>
      <c r="AE407" s="2">
        <v>10556.19</v>
      </c>
      <c r="AF407" s="2">
        <v>9072.28</v>
      </c>
      <c r="AG407" s="2">
        <v>1982.03</v>
      </c>
      <c r="AH407" s="2">
        <v>0</v>
      </c>
      <c r="AI407" s="2">
        <v>0</v>
      </c>
      <c r="AJ407" s="2">
        <v>22944.03</v>
      </c>
      <c r="AK407" s="2">
        <v>0</v>
      </c>
      <c r="AL407" s="2">
        <v>0</v>
      </c>
      <c r="AM407" s="2">
        <v>0</v>
      </c>
      <c r="AN407" s="2">
        <v>0</v>
      </c>
      <c r="AO407" s="2">
        <v>0</v>
      </c>
      <c r="AP407" s="2">
        <v>0</v>
      </c>
      <c r="AQ407" s="2">
        <v>0</v>
      </c>
      <c r="AR407" s="2">
        <v>0</v>
      </c>
      <c r="AS407" s="2">
        <v>0</v>
      </c>
      <c r="AT407" s="2">
        <v>0</v>
      </c>
      <c r="AU407" s="2">
        <v>0</v>
      </c>
      <c r="AV407" s="2">
        <v>0</v>
      </c>
      <c r="AW407" s="1">
        <v>403</v>
      </c>
    </row>
    <row r="408" spans="1:49" ht="12.75">
      <c r="A408" s="5">
        <v>4010</v>
      </c>
      <c r="B408" s="2" t="s">
        <v>1343</v>
      </c>
      <c r="C408" s="305">
        <v>0</v>
      </c>
      <c r="D408" s="305">
        <v>0</v>
      </c>
      <c r="E408" s="305">
        <v>1197.95</v>
      </c>
      <c r="F408" s="305">
        <v>0</v>
      </c>
      <c r="G408" s="305">
        <v>0</v>
      </c>
      <c r="H408" s="305">
        <v>1736.24</v>
      </c>
      <c r="I408" s="305">
        <v>0</v>
      </c>
      <c r="J408" s="1" t="s">
        <v>815</v>
      </c>
      <c r="K408" s="3" t="s">
        <v>982</v>
      </c>
      <c r="L408" s="365"/>
      <c r="M408" s="2">
        <v>0</v>
      </c>
      <c r="N408" s="311">
        <v>410</v>
      </c>
      <c r="O408" s="310" t="s">
        <v>1190</v>
      </c>
      <c r="P408" s="309">
        <v>40</v>
      </c>
      <c r="Q408" s="60" t="s">
        <v>456</v>
      </c>
      <c r="R408" s="309">
        <v>5029</v>
      </c>
      <c r="S408" s="60" t="s">
        <v>208</v>
      </c>
      <c r="T408" s="61">
        <v>170</v>
      </c>
      <c r="U408" s="60" t="s">
        <v>501</v>
      </c>
      <c r="V408" s="1">
        <v>3</v>
      </c>
      <c r="W408" s="1" t="s">
        <v>37</v>
      </c>
      <c r="X408" s="1" t="s">
        <v>1344</v>
      </c>
      <c r="Y408" s="2">
        <v>0</v>
      </c>
      <c r="Z408" s="2">
        <v>239.24</v>
      </c>
      <c r="AA408" s="2">
        <v>119.62</v>
      </c>
      <c r="AB408" s="2">
        <v>0</v>
      </c>
      <c r="AC408" s="2">
        <v>0</v>
      </c>
      <c r="AD408" s="2">
        <v>179.43</v>
      </c>
      <c r="AE408" s="2">
        <v>0</v>
      </c>
      <c r="AF408" s="2">
        <v>0</v>
      </c>
      <c r="AG408" s="2">
        <v>0</v>
      </c>
      <c r="AH408" s="2">
        <v>0</v>
      </c>
      <c r="AI408" s="2">
        <v>0</v>
      </c>
      <c r="AJ408" s="2">
        <v>1197.95</v>
      </c>
      <c r="AK408" s="2">
        <v>0</v>
      </c>
      <c r="AL408" s="2">
        <v>0</v>
      </c>
      <c r="AM408" s="2">
        <v>0</v>
      </c>
      <c r="AN408" s="2">
        <v>0</v>
      </c>
      <c r="AO408" s="2">
        <v>0</v>
      </c>
      <c r="AP408" s="2">
        <v>0</v>
      </c>
      <c r="AQ408" s="2">
        <v>0</v>
      </c>
      <c r="AR408" s="2">
        <v>0</v>
      </c>
      <c r="AS408" s="2">
        <v>0</v>
      </c>
      <c r="AT408" s="2">
        <v>0</v>
      </c>
      <c r="AU408" s="2">
        <v>0</v>
      </c>
      <c r="AV408" s="2">
        <v>0</v>
      </c>
      <c r="AW408" s="1">
        <v>404</v>
      </c>
    </row>
    <row r="409" spans="1:49" ht="12.75">
      <c r="A409" s="5">
        <v>4010</v>
      </c>
      <c r="B409" s="2" t="s">
        <v>1345</v>
      </c>
      <c r="C409" s="305">
        <v>0</v>
      </c>
      <c r="D409" s="305">
        <v>0</v>
      </c>
      <c r="E409" s="305">
        <v>-1008.81</v>
      </c>
      <c r="F409" s="305">
        <v>0</v>
      </c>
      <c r="G409" s="305">
        <v>0</v>
      </c>
      <c r="H409" s="305">
        <v>6809.23</v>
      </c>
      <c r="I409" s="305">
        <v>0</v>
      </c>
      <c r="J409" s="1" t="s">
        <v>816</v>
      </c>
      <c r="K409" s="3" t="s">
        <v>982</v>
      </c>
      <c r="L409" s="365"/>
      <c r="M409" s="2">
        <v>0</v>
      </c>
      <c r="N409" s="311">
        <v>410</v>
      </c>
      <c r="O409" s="310" t="s">
        <v>1190</v>
      </c>
      <c r="P409" s="309">
        <v>40</v>
      </c>
      <c r="Q409" s="60" t="s">
        <v>456</v>
      </c>
      <c r="R409" s="309">
        <v>5029</v>
      </c>
      <c r="S409" s="60" t="s">
        <v>208</v>
      </c>
      <c r="T409" s="61">
        <v>170</v>
      </c>
      <c r="U409" s="60" t="s">
        <v>501</v>
      </c>
      <c r="V409" s="1">
        <v>3</v>
      </c>
      <c r="W409" s="1" t="s">
        <v>37</v>
      </c>
      <c r="X409" s="1" t="s">
        <v>1346</v>
      </c>
      <c r="Y409" s="2">
        <v>668.02</v>
      </c>
      <c r="Z409" s="2">
        <v>607.58</v>
      </c>
      <c r="AA409" s="2">
        <v>659.91</v>
      </c>
      <c r="AB409" s="2">
        <v>1009.44</v>
      </c>
      <c r="AC409" s="2">
        <v>2410.36</v>
      </c>
      <c r="AD409" s="2">
        <v>806.4</v>
      </c>
      <c r="AE409" s="2">
        <v>882.66</v>
      </c>
      <c r="AF409" s="2">
        <v>773.67</v>
      </c>
      <c r="AG409" s="2">
        <v>0</v>
      </c>
      <c r="AH409" s="2">
        <v>0</v>
      </c>
      <c r="AI409" s="2">
        <v>0</v>
      </c>
      <c r="AJ409" s="2">
        <v>-1008.81</v>
      </c>
      <c r="AK409" s="2">
        <v>0</v>
      </c>
      <c r="AL409" s="2">
        <v>0</v>
      </c>
      <c r="AM409" s="2">
        <v>0</v>
      </c>
      <c r="AN409" s="2">
        <v>0</v>
      </c>
      <c r="AO409" s="2">
        <v>0</v>
      </c>
      <c r="AP409" s="2">
        <v>0</v>
      </c>
      <c r="AQ409" s="2">
        <v>0</v>
      </c>
      <c r="AR409" s="2">
        <v>0</v>
      </c>
      <c r="AS409" s="2">
        <v>0</v>
      </c>
      <c r="AT409" s="2">
        <v>0</v>
      </c>
      <c r="AU409" s="2">
        <v>0</v>
      </c>
      <c r="AV409" s="2">
        <v>0</v>
      </c>
      <c r="AW409" s="1">
        <v>405</v>
      </c>
    </row>
    <row r="410" spans="1:49" ht="12.75">
      <c r="A410" s="5">
        <v>4010</v>
      </c>
      <c r="B410" s="2" t="s">
        <v>1347</v>
      </c>
      <c r="C410" s="305">
        <v>0</v>
      </c>
      <c r="D410" s="305">
        <v>0</v>
      </c>
      <c r="E410" s="305">
        <v>3499.41</v>
      </c>
      <c r="F410" s="305">
        <v>0</v>
      </c>
      <c r="G410" s="305">
        <v>0</v>
      </c>
      <c r="H410" s="305">
        <v>36577.39</v>
      </c>
      <c r="I410" s="305">
        <v>0</v>
      </c>
      <c r="J410" s="1" t="s">
        <v>817</v>
      </c>
      <c r="K410" s="3" t="s">
        <v>982</v>
      </c>
      <c r="L410" s="365"/>
      <c r="M410" s="2">
        <v>0</v>
      </c>
      <c r="N410" s="311">
        <v>410</v>
      </c>
      <c r="O410" s="310" t="s">
        <v>1190</v>
      </c>
      <c r="P410" s="309">
        <v>40</v>
      </c>
      <c r="Q410" s="60" t="s">
        <v>456</v>
      </c>
      <c r="R410" s="309">
        <v>5029</v>
      </c>
      <c r="S410" s="60" t="s">
        <v>208</v>
      </c>
      <c r="T410" s="61">
        <v>170</v>
      </c>
      <c r="U410" s="60" t="s">
        <v>501</v>
      </c>
      <c r="V410" s="1">
        <v>3</v>
      </c>
      <c r="W410" s="1" t="s">
        <v>37</v>
      </c>
      <c r="X410" s="1" t="s">
        <v>1348</v>
      </c>
      <c r="Y410" s="2">
        <v>2760.2</v>
      </c>
      <c r="Z410" s="2">
        <v>9581.43</v>
      </c>
      <c r="AA410" s="2">
        <v>4995.6</v>
      </c>
      <c r="AB410" s="2">
        <v>4955.65</v>
      </c>
      <c r="AC410" s="2">
        <v>6707.43</v>
      </c>
      <c r="AD410" s="2">
        <v>2154.64</v>
      </c>
      <c r="AE410" s="2">
        <v>230.23</v>
      </c>
      <c r="AF410" s="2">
        <v>0</v>
      </c>
      <c r="AG410" s="2">
        <v>1692.8</v>
      </c>
      <c r="AH410" s="2">
        <v>0</v>
      </c>
      <c r="AI410" s="2">
        <v>0</v>
      </c>
      <c r="AJ410" s="2">
        <v>3499.41</v>
      </c>
      <c r="AK410" s="2">
        <v>0</v>
      </c>
      <c r="AL410" s="2">
        <v>0</v>
      </c>
      <c r="AM410" s="2">
        <v>0</v>
      </c>
      <c r="AN410" s="2">
        <v>0</v>
      </c>
      <c r="AO410" s="2">
        <v>0</v>
      </c>
      <c r="AP410" s="2">
        <v>0</v>
      </c>
      <c r="AQ410" s="2">
        <v>0</v>
      </c>
      <c r="AR410" s="2">
        <v>0</v>
      </c>
      <c r="AS410" s="2">
        <v>0</v>
      </c>
      <c r="AT410" s="2">
        <v>0</v>
      </c>
      <c r="AU410" s="2">
        <v>0</v>
      </c>
      <c r="AV410" s="2">
        <v>0</v>
      </c>
      <c r="AW410" s="1">
        <v>406</v>
      </c>
    </row>
    <row r="411" spans="1:49" ht="12.75">
      <c r="A411" s="5">
        <v>4010</v>
      </c>
      <c r="B411" s="2" t="s">
        <v>1349</v>
      </c>
      <c r="C411" s="305">
        <v>0</v>
      </c>
      <c r="D411" s="305">
        <v>0</v>
      </c>
      <c r="E411" s="305">
        <v>1160.36</v>
      </c>
      <c r="F411" s="305">
        <v>0</v>
      </c>
      <c r="G411" s="305">
        <v>0</v>
      </c>
      <c r="H411" s="305">
        <v>1256.58</v>
      </c>
      <c r="I411" s="305">
        <v>0</v>
      </c>
      <c r="J411" s="1" t="s">
        <v>818</v>
      </c>
      <c r="K411" s="3" t="s">
        <v>982</v>
      </c>
      <c r="L411" s="365"/>
      <c r="M411" s="2">
        <v>0</v>
      </c>
      <c r="N411" s="311">
        <v>410</v>
      </c>
      <c r="O411" s="310" t="s">
        <v>1190</v>
      </c>
      <c r="P411" s="309">
        <v>40</v>
      </c>
      <c r="Q411" s="60" t="s">
        <v>456</v>
      </c>
      <c r="R411" s="309">
        <v>5029</v>
      </c>
      <c r="S411" s="60" t="s">
        <v>208</v>
      </c>
      <c r="T411" s="61">
        <v>170</v>
      </c>
      <c r="U411" s="60" t="s">
        <v>501</v>
      </c>
      <c r="V411" s="1">
        <v>3</v>
      </c>
      <c r="W411" s="1" t="s">
        <v>37</v>
      </c>
      <c r="X411" s="1" t="s">
        <v>1350</v>
      </c>
      <c r="Y411" s="2">
        <v>0</v>
      </c>
      <c r="Z411" s="2">
        <v>0</v>
      </c>
      <c r="AA411" s="2">
        <v>0</v>
      </c>
      <c r="AB411" s="2">
        <v>0</v>
      </c>
      <c r="AC411" s="2">
        <v>87.44</v>
      </c>
      <c r="AD411" s="2">
        <v>5.04</v>
      </c>
      <c r="AE411" s="2">
        <v>0</v>
      </c>
      <c r="AF411" s="2">
        <v>0</v>
      </c>
      <c r="AG411" s="2">
        <v>3.74</v>
      </c>
      <c r="AH411" s="2">
        <v>0</v>
      </c>
      <c r="AI411" s="2">
        <v>0</v>
      </c>
      <c r="AJ411" s="2">
        <v>1160.36</v>
      </c>
      <c r="AK411" s="2">
        <v>0</v>
      </c>
      <c r="AL411" s="2">
        <v>0</v>
      </c>
      <c r="AM411" s="2">
        <v>0</v>
      </c>
      <c r="AN411" s="2">
        <v>0</v>
      </c>
      <c r="AO411" s="2">
        <v>0</v>
      </c>
      <c r="AP411" s="2">
        <v>0</v>
      </c>
      <c r="AQ411" s="2">
        <v>0</v>
      </c>
      <c r="AR411" s="2">
        <v>0</v>
      </c>
      <c r="AS411" s="2">
        <v>0</v>
      </c>
      <c r="AT411" s="2">
        <v>0</v>
      </c>
      <c r="AU411" s="2">
        <v>0</v>
      </c>
      <c r="AV411" s="2">
        <v>0</v>
      </c>
      <c r="AW411" s="1">
        <v>407</v>
      </c>
    </row>
    <row r="412" spans="1:49" ht="12.75">
      <c r="A412" s="5">
        <v>4010</v>
      </c>
      <c r="B412" s="2" t="s">
        <v>1351</v>
      </c>
      <c r="C412" s="305">
        <v>99</v>
      </c>
      <c r="D412" s="305">
        <v>0</v>
      </c>
      <c r="E412" s="305">
        <v>0</v>
      </c>
      <c r="F412" s="305">
        <v>5095.59</v>
      </c>
      <c r="G412" s="305">
        <v>0</v>
      </c>
      <c r="H412" s="305">
        <v>0</v>
      </c>
      <c r="I412" s="305">
        <v>0</v>
      </c>
      <c r="J412" s="1" t="s">
        <v>819</v>
      </c>
      <c r="K412" s="3" t="s">
        <v>982</v>
      </c>
      <c r="L412" s="365"/>
      <c r="M412" s="2">
        <v>5095.59</v>
      </c>
      <c r="N412" s="311">
        <v>410</v>
      </c>
      <c r="O412" s="310" t="s">
        <v>1190</v>
      </c>
      <c r="P412" s="309">
        <v>40</v>
      </c>
      <c r="Q412" s="60" t="s">
        <v>456</v>
      </c>
      <c r="R412" s="309">
        <v>5020</v>
      </c>
      <c r="S412" s="60" t="s">
        <v>205</v>
      </c>
      <c r="T412" s="61">
        <v>240</v>
      </c>
      <c r="U412" s="60" t="s">
        <v>788</v>
      </c>
      <c r="V412" s="1">
        <v>3</v>
      </c>
      <c r="W412" s="1" t="s">
        <v>37</v>
      </c>
      <c r="X412" s="1" t="s">
        <v>1246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  <c r="AD412" s="2">
        <v>0</v>
      </c>
      <c r="AE412" s="2">
        <v>0</v>
      </c>
      <c r="AF412" s="2">
        <v>0</v>
      </c>
      <c r="AG412" s="2">
        <v>0</v>
      </c>
      <c r="AH412" s="2">
        <v>0</v>
      </c>
      <c r="AI412" s="2">
        <v>0</v>
      </c>
      <c r="AJ412" s="2">
        <v>0</v>
      </c>
      <c r="AK412" s="2">
        <v>90</v>
      </c>
      <c r="AL412" s="2">
        <v>26.16</v>
      </c>
      <c r="AM412" s="2">
        <v>227.43</v>
      </c>
      <c r="AN412" s="2">
        <v>297</v>
      </c>
      <c r="AO412" s="2">
        <v>396</v>
      </c>
      <c r="AP412" s="2">
        <v>891</v>
      </c>
      <c r="AQ412" s="2">
        <v>1188</v>
      </c>
      <c r="AR412" s="2">
        <v>1188</v>
      </c>
      <c r="AS412" s="2">
        <v>594</v>
      </c>
      <c r="AT412" s="2">
        <v>99</v>
      </c>
      <c r="AU412" s="2">
        <v>0</v>
      </c>
      <c r="AV412" s="2">
        <v>99</v>
      </c>
      <c r="AW412" s="1">
        <v>408</v>
      </c>
    </row>
    <row r="413" spans="1:49" ht="12.75">
      <c r="A413" s="5">
        <v>4090</v>
      </c>
      <c r="B413" s="2" t="s">
        <v>1352</v>
      </c>
      <c r="C413" s="305">
        <v>0</v>
      </c>
      <c r="D413" s="305">
        <v>0</v>
      </c>
      <c r="E413" s="305">
        <v>0</v>
      </c>
      <c r="F413" s="305">
        <v>11737.75</v>
      </c>
      <c r="G413" s="305">
        <v>0</v>
      </c>
      <c r="H413" s="305">
        <v>0</v>
      </c>
      <c r="I413" s="305">
        <v>0</v>
      </c>
      <c r="J413" s="1" t="s">
        <v>678</v>
      </c>
      <c r="K413" s="3" t="s">
        <v>982</v>
      </c>
      <c r="L413" s="365"/>
      <c r="M413" s="2">
        <v>11737.75</v>
      </c>
      <c r="N413" s="311">
        <v>400</v>
      </c>
      <c r="O413" s="310" t="s">
        <v>458</v>
      </c>
      <c r="P413" s="309">
        <v>40</v>
      </c>
      <c r="Q413" s="60" t="s">
        <v>456</v>
      </c>
      <c r="R413" s="309">
        <v>5019</v>
      </c>
      <c r="S413" s="60" t="s">
        <v>679</v>
      </c>
      <c r="T413" s="61">
        <v>120</v>
      </c>
      <c r="U413" s="60" t="s">
        <v>382</v>
      </c>
      <c r="V413" s="1">
        <v>3</v>
      </c>
      <c r="W413" s="1" t="s">
        <v>37</v>
      </c>
      <c r="X413" s="1" t="s">
        <v>1204</v>
      </c>
      <c r="Y413" s="2">
        <v>0</v>
      </c>
      <c r="Z413" s="2">
        <v>0</v>
      </c>
      <c r="AA413" s="2">
        <v>0</v>
      </c>
      <c r="AB413" s="2">
        <v>0</v>
      </c>
      <c r="AC413" s="2">
        <v>0</v>
      </c>
      <c r="AD413" s="2">
        <v>0</v>
      </c>
      <c r="AE413" s="2">
        <v>0</v>
      </c>
      <c r="AF413" s="2">
        <v>0</v>
      </c>
      <c r="AG413" s="2">
        <v>0</v>
      </c>
      <c r="AH413" s="2">
        <v>0</v>
      </c>
      <c r="AI413" s="2">
        <v>0</v>
      </c>
      <c r="AJ413" s="2">
        <v>0</v>
      </c>
      <c r="AK413" s="2">
        <v>0</v>
      </c>
      <c r="AL413" s="2">
        <v>0</v>
      </c>
      <c r="AM413" s="2">
        <v>53933.46</v>
      </c>
      <c r="AN413" s="2">
        <v>-49297.49</v>
      </c>
      <c r="AO413" s="2">
        <v>0</v>
      </c>
      <c r="AP413" s="2">
        <v>0</v>
      </c>
      <c r="AQ413" s="2">
        <v>0</v>
      </c>
      <c r="AR413" s="2">
        <v>7101.78</v>
      </c>
      <c r="AS413" s="2">
        <v>0</v>
      </c>
      <c r="AT413" s="2">
        <v>0</v>
      </c>
      <c r="AU413" s="2">
        <v>0</v>
      </c>
      <c r="AV413" s="2">
        <v>0</v>
      </c>
      <c r="AW413" s="1">
        <v>409</v>
      </c>
    </row>
    <row r="414" spans="1:49" ht="12.75">
      <c r="A414" s="5">
        <v>4090</v>
      </c>
      <c r="B414" s="2" t="s">
        <v>1353</v>
      </c>
      <c r="C414" s="305">
        <v>0</v>
      </c>
      <c r="D414" s="305">
        <v>0</v>
      </c>
      <c r="E414" s="305">
        <v>0</v>
      </c>
      <c r="F414" s="305">
        <v>194.34</v>
      </c>
      <c r="G414" s="305">
        <v>0</v>
      </c>
      <c r="H414" s="305">
        <v>0</v>
      </c>
      <c r="I414" s="305">
        <v>0</v>
      </c>
      <c r="J414" s="1" t="s">
        <v>681</v>
      </c>
      <c r="K414" s="3" t="s">
        <v>982</v>
      </c>
      <c r="L414" s="365"/>
      <c r="M414" s="2">
        <v>194.34</v>
      </c>
      <c r="N414" s="311">
        <v>400</v>
      </c>
      <c r="O414" s="310" t="s">
        <v>458</v>
      </c>
      <c r="P414" s="309">
        <v>40</v>
      </c>
      <c r="Q414" s="60" t="s">
        <v>456</v>
      </c>
      <c r="R414" s="309">
        <v>5019</v>
      </c>
      <c r="S414" s="60" t="s">
        <v>679</v>
      </c>
      <c r="T414" s="61">
        <v>120</v>
      </c>
      <c r="U414" s="60" t="s">
        <v>382</v>
      </c>
      <c r="V414" s="1">
        <v>3</v>
      </c>
      <c r="W414" s="1" t="s">
        <v>37</v>
      </c>
      <c r="X414" s="1" t="s">
        <v>1204</v>
      </c>
      <c r="Y414" s="2">
        <v>0</v>
      </c>
      <c r="Z414" s="2">
        <v>0</v>
      </c>
      <c r="AA414" s="2">
        <v>0</v>
      </c>
      <c r="AB414" s="2">
        <v>0</v>
      </c>
      <c r="AC414" s="2">
        <v>0</v>
      </c>
      <c r="AD414" s="2">
        <v>0</v>
      </c>
      <c r="AE414" s="2">
        <v>0</v>
      </c>
      <c r="AF414" s="2">
        <v>0</v>
      </c>
      <c r="AG414" s="2">
        <v>0</v>
      </c>
      <c r="AH414" s="2">
        <v>0</v>
      </c>
      <c r="AI414" s="2">
        <v>0</v>
      </c>
      <c r="AJ414" s="2">
        <v>0</v>
      </c>
      <c r="AK414" s="2">
        <v>0</v>
      </c>
      <c r="AL414" s="2">
        <v>0</v>
      </c>
      <c r="AM414" s="2">
        <v>4757.41</v>
      </c>
      <c r="AN414" s="2">
        <v>-7280.21</v>
      </c>
      <c r="AO414" s="2">
        <v>0</v>
      </c>
      <c r="AP414" s="2">
        <v>0</v>
      </c>
      <c r="AQ414" s="2">
        <v>0</v>
      </c>
      <c r="AR414" s="2">
        <v>2717.14</v>
      </c>
      <c r="AS414" s="2">
        <v>0</v>
      </c>
      <c r="AT414" s="2">
        <v>0</v>
      </c>
      <c r="AU414" s="2">
        <v>0</v>
      </c>
      <c r="AV414" s="2">
        <v>0</v>
      </c>
      <c r="AW414" s="1">
        <v>410</v>
      </c>
    </row>
    <row r="415" spans="1:49" ht="12.75">
      <c r="A415" s="5">
        <v>4090</v>
      </c>
      <c r="B415" s="2" t="s">
        <v>1354</v>
      </c>
      <c r="C415" s="305">
        <v>0</v>
      </c>
      <c r="D415" s="305">
        <v>0</v>
      </c>
      <c r="E415" s="305">
        <v>0</v>
      </c>
      <c r="F415" s="305">
        <v>-8649.76</v>
      </c>
      <c r="G415" s="305">
        <v>0</v>
      </c>
      <c r="H415" s="305">
        <v>0</v>
      </c>
      <c r="I415" s="305">
        <v>0</v>
      </c>
      <c r="J415" s="1" t="s">
        <v>683</v>
      </c>
      <c r="K415" s="3" t="s">
        <v>982</v>
      </c>
      <c r="L415" s="365"/>
      <c r="M415" s="2">
        <v>-8649.76</v>
      </c>
      <c r="N415" s="311">
        <v>400</v>
      </c>
      <c r="O415" s="310" t="s">
        <v>458</v>
      </c>
      <c r="P415" s="309">
        <v>40</v>
      </c>
      <c r="Q415" s="60" t="s">
        <v>456</v>
      </c>
      <c r="R415" s="309">
        <v>5019</v>
      </c>
      <c r="S415" s="60" t="s">
        <v>679</v>
      </c>
      <c r="T415" s="61">
        <v>120</v>
      </c>
      <c r="U415" s="60" t="s">
        <v>382</v>
      </c>
      <c r="V415" s="1">
        <v>3</v>
      </c>
      <c r="W415" s="1" t="s">
        <v>37</v>
      </c>
      <c r="X415" s="1" t="s">
        <v>1204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  <c r="AD415" s="2">
        <v>0</v>
      </c>
      <c r="AE415" s="2">
        <v>0</v>
      </c>
      <c r="AF415" s="2">
        <v>0</v>
      </c>
      <c r="AG415" s="2">
        <v>0</v>
      </c>
      <c r="AH415" s="2">
        <v>0</v>
      </c>
      <c r="AI415" s="2">
        <v>0</v>
      </c>
      <c r="AJ415" s="2">
        <v>0</v>
      </c>
      <c r="AK415" s="2">
        <v>0</v>
      </c>
      <c r="AL415" s="2">
        <v>0</v>
      </c>
      <c r="AM415" s="2">
        <v>-53440.2</v>
      </c>
      <c r="AN415" s="2">
        <v>77826.81</v>
      </c>
      <c r="AO415" s="2">
        <v>8617.5</v>
      </c>
      <c r="AP415" s="2">
        <v>15130.3</v>
      </c>
      <c r="AQ415" s="2">
        <v>0</v>
      </c>
      <c r="AR415" s="2">
        <v>-56784.17</v>
      </c>
      <c r="AS415" s="2">
        <v>0</v>
      </c>
      <c r="AT415" s="2">
        <v>0</v>
      </c>
      <c r="AU415" s="2">
        <v>0</v>
      </c>
      <c r="AV415" s="2">
        <v>0</v>
      </c>
      <c r="AW415" s="1">
        <v>411</v>
      </c>
    </row>
    <row r="416" spans="1:49" ht="12.75">
      <c r="A416" s="5">
        <v>4090</v>
      </c>
      <c r="B416" s="2" t="s">
        <v>1355</v>
      </c>
      <c r="C416" s="305">
        <v>0</v>
      </c>
      <c r="D416" s="305">
        <v>0</v>
      </c>
      <c r="E416" s="305">
        <v>0</v>
      </c>
      <c r="F416" s="305">
        <v>-4050.95</v>
      </c>
      <c r="G416" s="305">
        <v>0</v>
      </c>
      <c r="H416" s="305">
        <v>0</v>
      </c>
      <c r="I416" s="305">
        <v>0</v>
      </c>
      <c r="J416" s="1" t="s">
        <v>685</v>
      </c>
      <c r="K416" s="3" t="s">
        <v>982</v>
      </c>
      <c r="L416" s="365"/>
      <c r="M416" s="2">
        <v>-4050.95</v>
      </c>
      <c r="N416" s="311">
        <v>400</v>
      </c>
      <c r="O416" s="310" t="s">
        <v>458</v>
      </c>
      <c r="P416" s="309">
        <v>40</v>
      </c>
      <c r="Q416" s="60" t="s">
        <v>456</v>
      </c>
      <c r="R416" s="309">
        <v>5019</v>
      </c>
      <c r="S416" s="60" t="s">
        <v>679</v>
      </c>
      <c r="T416" s="61">
        <v>120</v>
      </c>
      <c r="U416" s="60" t="s">
        <v>382</v>
      </c>
      <c r="V416" s="1">
        <v>3</v>
      </c>
      <c r="W416" s="1" t="s">
        <v>37</v>
      </c>
      <c r="X416" s="1" t="s">
        <v>1204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  <c r="AE416" s="2">
        <v>0</v>
      </c>
      <c r="AF416" s="2">
        <v>0</v>
      </c>
      <c r="AG416" s="2">
        <v>0</v>
      </c>
      <c r="AH416" s="2">
        <v>0</v>
      </c>
      <c r="AI416" s="2">
        <v>0</v>
      </c>
      <c r="AJ416" s="2">
        <v>0</v>
      </c>
      <c r="AK416" s="2">
        <v>0</v>
      </c>
      <c r="AL416" s="2">
        <v>0</v>
      </c>
      <c r="AM416" s="2">
        <v>1338.59</v>
      </c>
      <c r="AN416" s="2">
        <v>-654.37</v>
      </c>
      <c r="AO416" s="2">
        <v>0</v>
      </c>
      <c r="AP416" s="2">
        <v>0</v>
      </c>
      <c r="AQ416" s="2">
        <v>0</v>
      </c>
      <c r="AR416" s="2">
        <v>-4735.17</v>
      </c>
      <c r="AS416" s="2">
        <v>0</v>
      </c>
      <c r="AT416" s="2">
        <v>0</v>
      </c>
      <c r="AU416" s="2">
        <v>0</v>
      </c>
      <c r="AV416" s="2">
        <v>0</v>
      </c>
      <c r="AW416" s="1">
        <v>412</v>
      </c>
    </row>
    <row r="417" spans="1:49" ht="12.75">
      <c r="A417" s="5">
        <v>4090</v>
      </c>
      <c r="B417" s="2" t="s">
        <v>1356</v>
      </c>
      <c r="C417" s="305">
        <v>0</v>
      </c>
      <c r="D417" s="305">
        <v>0</v>
      </c>
      <c r="E417" s="305">
        <v>0</v>
      </c>
      <c r="F417" s="305">
        <v>16086.94</v>
      </c>
      <c r="G417" s="305">
        <v>0</v>
      </c>
      <c r="H417" s="305">
        <v>0</v>
      </c>
      <c r="I417" s="305">
        <v>0</v>
      </c>
      <c r="J417" s="1" t="s">
        <v>687</v>
      </c>
      <c r="K417" s="3" t="s">
        <v>982</v>
      </c>
      <c r="L417" s="365"/>
      <c r="M417" s="2">
        <v>16086.94</v>
      </c>
      <c r="N417" s="311">
        <v>400</v>
      </c>
      <c r="O417" s="310" t="s">
        <v>458</v>
      </c>
      <c r="P417" s="309">
        <v>40</v>
      </c>
      <c r="Q417" s="60" t="s">
        <v>456</v>
      </c>
      <c r="R417" s="309">
        <v>5019</v>
      </c>
      <c r="S417" s="60" t="s">
        <v>679</v>
      </c>
      <c r="T417" s="61">
        <v>120</v>
      </c>
      <c r="U417" s="60" t="s">
        <v>382</v>
      </c>
      <c r="V417" s="1">
        <v>3</v>
      </c>
      <c r="W417" s="1" t="s">
        <v>37</v>
      </c>
      <c r="X417" s="1" t="s">
        <v>1204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0</v>
      </c>
      <c r="AE417" s="2">
        <v>0</v>
      </c>
      <c r="AF417" s="2">
        <v>0</v>
      </c>
      <c r="AG417" s="2">
        <v>0</v>
      </c>
      <c r="AH417" s="2">
        <v>0</v>
      </c>
      <c r="AI417" s="2">
        <v>0</v>
      </c>
      <c r="AJ417" s="2">
        <v>0</v>
      </c>
      <c r="AK417" s="2">
        <v>0</v>
      </c>
      <c r="AL417" s="2">
        <v>0</v>
      </c>
      <c r="AM417" s="2">
        <v>5308.23</v>
      </c>
      <c r="AN417" s="2">
        <v>-818.68</v>
      </c>
      <c r="AO417" s="2">
        <v>0</v>
      </c>
      <c r="AP417" s="2">
        <v>0</v>
      </c>
      <c r="AQ417" s="2">
        <v>0</v>
      </c>
      <c r="AR417" s="2">
        <v>11597.39</v>
      </c>
      <c r="AS417" s="2">
        <v>0</v>
      </c>
      <c r="AT417" s="2">
        <v>0</v>
      </c>
      <c r="AU417" s="2">
        <v>0</v>
      </c>
      <c r="AV417" s="2">
        <v>0</v>
      </c>
      <c r="AW417" s="1">
        <v>413</v>
      </c>
    </row>
    <row r="418" spans="1:49" ht="12.75">
      <c r="A418" s="5">
        <v>4090</v>
      </c>
      <c r="B418" s="2" t="s">
        <v>1357</v>
      </c>
      <c r="C418" s="305">
        <v>0</v>
      </c>
      <c r="D418" s="305">
        <v>0</v>
      </c>
      <c r="E418" s="305">
        <v>0</v>
      </c>
      <c r="F418" s="305">
        <v>-56562.49</v>
      </c>
      <c r="G418" s="305">
        <v>0</v>
      </c>
      <c r="H418" s="305">
        <v>0</v>
      </c>
      <c r="I418" s="305">
        <v>0</v>
      </c>
      <c r="J418" s="1" t="s">
        <v>689</v>
      </c>
      <c r="K418" s="3" t="s">
        <v>982</v>
      </c>
      <c r="L418" s="365"/>
      <c r="M418" s="2">
        <v>-56562.49</v>
      </c>
      <c r="N418" s="311">
        <v>400</v>
      </c>
      <c r="O418" s="310" t="s">
        <v>458</v>
      </c>
      <c r="P418" s="309">
        <v>40</v>
      </c>
      <c r="Q418" s="60" t="s">
        <v>456</v>
      </c>
      <c r="R418" s="309">
        <v>5019</v>
      </c>
      <c r="S418" s="60" t="s">
        <v>679</v>
      </c>
      <c r="T418" s="61">
        <v>120</v>
      </c>
      <c r="U418" s="60" t="s">
        <v>382</v>
      </c>
      <c r="V418" s="1">
        <v>3</v>
      </c>
      <c r="W418" s="1" t="s">
        <v>37</v>
      </c>
      <c r="X418" s="1" t="s">
        <v>1204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0</v>
      </c>
      <c r="AE418" s="2">
        <v>0</v>
      </c>
      <c r="AF418" s="2">
        <v>0</v>
      </c>
      <c r="AG418" s="2">
        <v>0</v>
      </c>
      <c r="AH418" s="2">
        <v>0</v>
      </c>
      <c r="AI418" s="2">
        <v>0</v>
      </c>
      <c r="AJ418" s="2">
        <v>0</v>
      </c>
      <c r="AK418" s="2">
        <v>0</v>
      </c>
      <c r="AL418" s="2">
        <v>0</v>
      </c>
      <c r="AM418" s="2">
        <v>-21958.57</v>
      </c>
      <c r="AN418" s="2">
        <v>-14880.73</v>
      </c>
      <c r="AO418" s="2">
        <v>0</v>
      </c>
      <c r="AP418" s="2">
        <v>0</v>
      </c>
      <c r="AQ418" s="2">
        <v>0</v>
      </c>
      <c r="AR418" s="2">
        <v>-19723.19</v>
      </c>
      <c r="AS418" s="2">
        <v>0</v>
      </c>
      <c r="AT418" s="2">
        <v>0</v>
      </c>
      <c r="AU418" s="2">
        <v>0</v>
      </c>
      <c r="AV418" s="2">
        <v>0</v>
      </c>
      <c r="AW418" s="1">
        <v>414</v>
      </c>
    </row>
    <row r="419" spans="1:49" ht="12.75">
      <c r="A419" s="5">
        <v>4090</v>
      </c>
      <c r="B419" s="2" t="s">
        <v>1358</v>
      </c>
      <c r="C419" s="305">
        <v>0</v>
      </c>
      <c r="D419" s="305">
        <v>0</v>
      </c>
      <c r="E419" s="305">
        <v>0</v>
      </c>
      <c r="F419" s="305">
        <v>-2838.33</v>
      </c>
      <c r="G419" s="305">
        <v>0</v>
      </c>
      <c r="H419" s="305">
        <v>0</v>
      </c>
      <c r="I419" s="305">
        <v>0</v>
      </c>
      <c r="J419" s="1" t="s">
        <v>885</v>
      </c>
      <c r="K419" s="3" t="s">
        <v>982</v>
      </c>
      <c r="L419" s="365"/>
      <c r="M419" s="2">
        <v>-2838.33</v>
      </c>
      <c r="N419" s="311">
        <v>400</v>
      </c>
      <c r="O419" s="310" t="s">
        <v>458</v>
      </c>
      <c r="P419" s="309">
        <v>40</v>
      </c>
      <c r="Q419" s="60" t="s">
        <v>456</v>
      </c>
      <c r="R419" s="309">
        <v>5019</v>
      </c>
      <c r="S419" s="60" t="s">
        <v>679</v>
      </c>
      <c r="T419" s="61">
        <v>120</v>
      </c>
      <c r="U419" s="60" t="s">
        <v>382</v>
      </c>
      <c r="V419" s="1">
        <v>3</v>
      </c>
      <c r="W419" s="1" t="s">
        <v>37</v>
      </c>
      <c r="X419" s="1" t="s">
        <v>1204</v>
      </c>
      <c r="Y419" s="2">
        <v>0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  <c r="AE419" s="2">
        <v>0</v>
      </c>
      <c r="AF419" s="2">
        <v>0</v>
      </c>
      <c r="AG419" s="2">
        <v>0</v>
      </c>
      <c r="AH419" s="2">
        <v>0</v>
      </c>
      <c r="AI419" s="2">
        <v>0</v>
      </c>
      <c r="AJ419" s="2">
        <v>0</v>
      </c>
      <c r="AK419" s="2">
        <v>0</v>
      </c>
      <c r="AL419" s="2">
        <v>0</v>
      </c>
      <c r="AM419" s="2">
        <v>-1232</v>
      </c>
      <c r="AN419" s="2">
        <v>-384</v>
      </c>
      <c r="AO419" s="2">
        <v>0</v>
      </c>
      <c r="AP419" s="2">
        <v>0</v>
      </c>
      <c r="AQ419" s="2">
        <v>0</v>
      </c>
      <c r="AR419" s="2">
        <v>-1222.33</v>
      </c>
      <c r="AS419" s="2">
        <v>0</v>
      </c>
      <c r="AT419" s="2">
        <v>0</v>
      </c>
      <c r="AU419" s="2">
        <v>0</v>
      </c>
      <c r="AV419" s="2">
        <v>0</v>
      </c>
      <c r="AW419" s="1">
        <v>415</v>
      </c>
    </row>
    <row r="420" spans="1:49" ht="12.75">
      <c r="A420" s="5">
        <v>4090</v>
      </c>
      <c r="B420" s="2" t="s">
        <v>1359</v>
      </c>
      <c r="C420" s="305">
        <v>0</v>
      </c>
      <c r="D420" s="305">
        <v>0</v>
      </c>
      <c r="E420" s="305">
        <v>0</v>
      </c>
      <c r="F420" s="305">
        <v>47820.44</v>
      </c>
      <c r="G420" s="305">
        <v>0</v>
      </c>
      <c r="H420" s="305">
        <v>0</v>
      </c>
      <c r="I420" s="305">
        <v>0</v>
      </c>
      <c r="J420" s="1" t="s">
        <v>691</v>
      </c>
      <c r="K420" s="3" t="s">
        <v>982</v>
      </c>
      <c r="L420" s="365"/>
      <c r="M420" s="2">
        <v>47820.44</v>
      </c>
      <c r="N420" s="311">
        <v>400</v>
      </c>
      <c r="O420" s="310" t="s">
        <v>458</v>
      </c>
      <c r="P420" s="309">
        <v>40</v>
      </c>
      <c r="Q420" s="60" t="s">
        <v>456</v>
      </c>
      <c r="R420" s="309">
        <v>5019</v>
      </c>
      <c r="S420" s="60" t="s">
        <v>679</v>
      </c>
      <c r="T420" s="61">
        <v>120</v>
      </c>
      <c r="U420" s="60" t="s">
        <v>382</v>
      </c>
      <c r="V420" s="1">
        <v>3</v>
      </c>
      <c r="W420" s="1" t="s">
        <v>37</v>
      </c>
      <c r="X420" s="1" t="s">
        <v>1204</v>
      </c>
      <c r="Y420" s="2">
        <v>0</v>
      </c>
      <c r="Z420" s="2">
        <v>0</v>
      </c>
      <c r="AA420" s="2">
        <v>0</v>
      </c>
      <c r="AB420" s="2">
        <v>0</v>
      </c>
      <c r="AC420" s="2">
        <v>0</v>
      </c>
      <c r="AD420" s="2">
        <v>0</v>
      </c>
      <c r="AE420" s="2">
        <v>0</v>
      </c>
      <c r="AF420" s="2">
        <v>0</v>
      </c>
      <c r="AG420" s="2">
        <v>0</v>
      </c>
      <c r="AH420" s="2">
        <v>0</v>
      </c>
      <c r="AI420" s="2">
        <v>0</v>
      </c>
      <c r="AJ420" s="2">
        <v>0</v>
      </c>
      <c r="AK420" s="2">
        <v>0</v>
      </c>
      <c r="AL420" s="2">
        <v>0</v>
      </c>
      <c r="AM420" s="2">
        <v>19649.49</v>
      </c>
      <c r="AN420" s="2">
        <v>4267.48</v>
      </c>
      <c r="AO420" s="2">
        <v>0</v>
      </c>
      <c r="AP420" s="2">
        <v>0</v>
      </c>
      <c r="AQ420" s="2">
        <v>0</v>
      </c>
      <c r="AR420" s="2">
        <v>23903.47</v>
      </c>
      <c r="AS420" s="2">
        <v>0</v>
      </c>
      <c r="AT420" s="2">
        <v>0</v>
      </c>
      <c r="AU420" s="2">
        <v>0</v>
      </c>
      <c r="AV420" s="2">
        <v>0</v>
      </c>
      <c r="AW420" s="1">
        <v>416</v>
      </c>
    </row>
    <row r="421" spans="1:49" ht="12.75">
      <c r="A421" s="5">
        <v>4090</v>
      </c>
      <c r="B421" s="2" t="s">
        <v>1360</v>
      </c>
      <c r="C421" s="305">
        <v>0</v>
      </c>
      <c r="D421" s="305">
        <v>0</v>
      </c>
      <c r="E421" s="305">
        <v>0</v>
      </c>
      <c r="F421" s="305">
        <v>1487.92</v>
      </c>
      <c r="G421" s="305">
        <v>0</v>
      </c>
      <c r="H421" s="305">
        <v>0</v>
      </c>
      <c r="I421" s="305">
        <v>0</v>
      </c>
      <c r="J421" s="1" t="s">
        <v>693</v>
      </c>
      <c r="K421" s="3" t="s">
        <v>982</v>
      </c>
      <c r="L421" s="365"/>
      <c r="M421" s="2">
        <v>1487.92</v>
      </c>
      <c r="N421" s="311">
        <v>400</v>
      </c>
      <c r="O421" s="310" t="s">
        <v>458</v>
      </c>
      <c r="P421" s="309">
        <v>40</v>
      </c>
      <c r="Q421" s="60" t="s">
        <v>456</v>
      </c>
      <c r="R421" s="309">
        <v>5019</v>
      </c>
      <c r="S421" s="60" t="s">
        <v>679</v>
      </c>
      <c r="T421" s="61">
        <v>120</v>
      </c>
      <c r="U421" s="60" t="s">
        <v>382</v>
      </c>
      <c r="V421" s="1">
        <v>3</v>
      </c>
      <c r="W421" s="1" t="s">
        <v>37</v>
      </c>
      <c r="X421" s="1" t="s">
        <v>1204</v>
      </c>
      <c r="Y421" s="2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0</v>
      </c>
      <c r="AE421" s="2">
        <v>0</v>
      </c>
      <c r="AF421" s="2">
        <v>0</v>
      </c>
      <c r="AG421" s="2">
        <v>0</v>
      </c>
      <c r="AH421" s="2">
        <v>0</v>
      </c>
      <c r="AI421" s="2">
        <v>0</v>
      </c>
      <c r="AJ421" s="2">
        <v>0</v>
      </c>
      <c r="AK421" s="2">
        <v>0</v>
      </c>
      <c r="AL421" s="2">
        <v>0</v>
      </c>
      <c r="AM421" s="2">
        <v>1793.19</v>
      </c>
      <c r="AN421" s="2">
        <v>1578.17</v>
      </c>
      <c r="AO421" s="2">
        <v>0</v>
      </c>
      <c r="AP421" s="2">
        <v>0</v>
      </c>
      <c r="AQ421" s="2">
        <v>0</v>
      </c>
      <c r="AR421" s="2">
        <v>-1883.44</v>
      </c>
      <c r="AS421" s="2">
        <v>0</v>
      </c>
      <c r="AT421" s="2">
        <v>0</v>
      </c>
      <c r="AU421" s="2">
        <v>0</v>
      </c>
      <c r="AV421" s="2">
        <v>0</v>
      </c>
      <c r="AW421" s="1">
        <v>417</v>
      </c>
    </row>
    <row r="422" spans="1:49" ht="12.75">
      <c r="A422" s="5">
        <v>4090</v>
      </c>
      <c r="B422" s="2" t="s">
        <v>1361</v>
      </c>
      <c r="C422" s="305">
        <v>0</v>
      </c>
      <c r="D422" s="305">
        <v>0</v>
      </c>
      <c r="E422" s="305">
        <v>0</v>
      </c>
      <c r="F422" s="305">
        <v>1537.93</v>
      </c>
      <c r="G422" s="305">
        <v>0</v>
      </c>
      <c r="H422" s="305">
        <v>0</v>
      </c>
      <c r="I422" s="305">
        <v>0</v>
      </c>
      <c r="J422" s="1" t="s">
        <v>695</v>
      </c>
      <c r="K422" s="3" t="s">
        <v>982</v>
      </c>
      <c r="L422" s="365"/>
      <c r="M422" s="2">
        <v>1537.93</v>
      </c>
      <c r="N422" s="311">
        <v>400</v>
      </c>
      <c r="O422" s="310" t="s">
        <v>458</v>
      </c>
      <c r="P422" s="309">
        <v>40</v>
      </c>
      <c r="Q422" s="60" t="s">
        <v>456</v>
      </c>
      <c r="R422" s="309">
        <v>5019</v>
      </c>
      <c r="S422" s="60" t="s">
        <v>679</v>
      </c>
      <c r="T422" s="61">
        <v>120</v>
      </c>
      <c r="U422" s="60" t="s">
        <v>382</v>
      </c>
      <c r="V422" s="1">
        <v>3</v>
      </c>
      <c r="W422" s="1" t="s">
        <v>37</v>
      </c>
      <c r="X422" s="1" t="s">
        <v>1204</v>
      </c>
      <c r="Y422" s="2">
        <v>0</v>
      </c>
      <c r="Z422" s="2">
        <v>0</v>
      </c>
      <c r="AA422" s="2">
        <v>0</v>
      </c>
      <c r="AB422" s="2">
        <v>0</v>
      </c>
      <c r="AC422" s="2">
        <v>0</v>
      </c>
      <c r="AD422" s="2">
        <v>0</v>
      </c>
      <c r="AE422" s="2">
        <v>0</v>
      </c>
      <c r="AF422" s="2">
        <v>0</v>
      </c>
      <c r="AG422" s="2">
        <v>0</v>
      </c>
      <c r="AH422" s="2">
        <v>0</v>
      </c>
      <c r="AI422" s="2">
        <v>0</v>
      </c>
      <c r="AJ422" s="2">
        <v>0</v>
      </c>
      <c r="AK422" s="2">
        <v>0</v>
      </c>
      <c r="AL422" s="2">
        <v>0</v>
      </c>
      <c r="AM422" s="2">
        <v>7489.14</v>
      </c>
      <c r="AN422" s="2">
        <v>2616.06</v>
      </c>
      <c r="AO422" s="2">
        <v>0</v>
      </c>
      <c r="AP422" s="2">
        <v>0</v>
      </c>
      <c r="AQ422" s="2">
        <v>0</v>
      </c>
      <c r="AR422" s="2">
        <v>-8567.27</v>
      </c>
      <c r="AS422" s="2">
        <v>0</v>
      </c>
      <c r="AT422" s="2">
        <v>0</v>
      </c>
      <c r="AU422" s="2">
        <v>0</v>
      </c>
      <c r="AV422" s="2">
        <v>0</v>
      </c>
      <c r="AW422" s="1">
        <v>418</v>
      </c>
    </row>
    <row r="423" spans="1:49" ht="12.75">
      <c r="A423" s="5">
        <v>4090</v>
      </c>
      <c r="B423" s="2" t="s">
        <v>1362</v>
      </c>
      <c r="C423" s="305">
        <v>0</v>
      </c>
      <c r="D423" s="305">
        <v>0</v>
      </c>
      <c r="E423" s="305">
        <v>0</v>
      </c>
      <c r="F423" s="305">
        <v>32164.9</v>
      </c>
      <c r="G423" s="305">
        <v>0</v>
      </c>
      <c r="H423" s="305">
        <v>0</v>
      </c>
      <c r="I423" s="305">
        <v>0</v>
      </c>
      <c r="J423" s="1" t="s">
        <v>697</v>
      </c>
      <c r="K423" s="3" t="s">
        <v>982</v>
      </c>
      <c r="L423" s="365"/>
      <c r="M423" s="2">
        <v>32164.9</v>
      </c>
      <c r="N423" s="311">
        <v>400</v>
      </c>
      <c r="O423" s="310" t="s">
        <v>458</v>
      </c>
      <c r="P423" s="309">
        <v>40</v>
      </c>
      <c r="Q423" s="60" t="s">
        <v>456</v>
      </c>
      <c r="R423" s="309">
        <v>5021</v>
      </c>
      <c r="S423" s="60" t="s">
        <v>201</v>
      </c>
      <c r="T423" s="61">
        <v>130</v>
      </c>
      <c r="U423" s="60" t="s">
        <v>502</v>
      </c>
      <c r="V423" s="1">
        <v>3</v>
      </c>
      <c r="W423" s="1" t="s">
        <v>37</v>
      </c>
      <c r="X423" s="1" t="s">
        <v>1215</v>
      </c>
      <c r="Y423" s="2">
        <v>0</v>
      </c>
      <c r="Z423" s="2">
        <v>0</v>
      </c>
      <c r="AA423" s="2">
        <v>0</v>
      </c>
      <c r="AB423" s="2">
        <v>0</v>
      </c>
      <c r="AC423" s="2">
        <v>0</v>
      </c>
      <c r="AD423" s="2">
        <v>0</v>
      </c>
      <c r="AE423" s="2">
        <v>0</v>
      </c>
      <c r="AF423" s="2">
        <v>0</v>
      </c>
      <c r="AG423" s="2">
        <v>0</v>
      </c>
      <c r="AH423" s="2">
        <v>0</v>
      </c>
      <c r="AI423" s="2">
        <v>0</v>
      </c>
      <c r="AJ423" s="2">
        <v>0</v>
      </c>
      <c r="AK423" s="2">
        <v>0</v>
      </c>
      <c r="AL423" s="2">
        <v>0</v>
      </c>
      <c r="AM423" s="2">
        <v>0</v>
      </c>
      <c r="AN423" s="2">
        <v>17258.86</v>
      </c>
      <c r="AO423" s="2">
        <v>930</v>
      </c>
      <c r="AP423" s="2">
        <v>0</v>
      </c>
      <c r="AQ423" s="2">
        <v>0</v>
      </c>
      <c r="AR423" s="2">
        <v>13976.04</v>
      </c>
      <c r="AS423" s="2">
        <v>0</v>
      </c>
      <c r="AT423" s="2">
        <v>0</v>
      </c>
      <c r="AU423" s="2">
        <v>0</v>
      </c>
      <c r="AV423" s="2">
        <v>0</v>
      </c>
      <c r="AW423" s="1">
        <v>419</v>
      </c>
    </row>
    <row r="424" spans="1:49" ht="12.75">
      <c r="A424" s="5">
        <v>4090</v>
      </c>
      <c r="B424" s="2" t="s">
        <v>1363</v>
      </c>
      <c r="C424" s="305">
        <v>0</v>
      </c>
      <c r="D424" s="305">
        <v>0</v>
      </c>
      <c r="E424" s="305">
        <v>0</v>
      </c>
      <c r="F424" s="305">
        <v>-9873.53</v>
      </c>
      <c r="G424" s="305">
        <v>0</v>
      </c>
      <c r="H424" s="305">
        <v>0</v>
      </c>
      <c r="I424" s="305">
        <v>0</v>
      </c>
      <c r="J424" s="1" t="s">
        <v>699</v>
      </c>
      <c r="K424" s="3" t="s">
        <v>982</v>
      </c>
      <c r="L424" s="365"/>
      <c r="M424" s="2">
        <v>-9873.53</v>
      </c>
      <c r="N424" s="311">
        <v>400</v>
      </c>
      <c r="O424" s="310" t="s">
        <v>458</v>
      </c>
      <c r="P424" s="309">
        <v>40</v>
      </c>
      <c r="Q424" s="60" t="s">
        <v>456</v>
      </c>
      <c r="R424" s="309">
        <v>5021</v>
      </c>
      <c r="S424" s="60" t="s">
        <v>201</v>
      </c>
      <c r="T424" s="61">
        <v>130</v>
      </c>
      <c r="U424" s="60" t="s">
        <v>502</v>
      </c>
      <c r="V424" s="1">
        <v>3</v>
      </c>
      <c r="W424" s="1" t="s">
        <v>37</v>
      </c>
      <c r="X424" s="1" t="s">
        <v>1215</v>
      </c>
      <c r="Y424" s="2">
        <v>0</v>
      </c>
      <c r="Z424" s="2">
        <v>0</v>
      </c>
      <c r="AA424" s="2">
        <v>0</v>
      </c>
      <c r="AB424" s="2">
        <v>0</v>
      </c>
      <c r="AC424" s="2">
        <v>0</v>
      </c>
      <c r="AD424" s="2">
        <v>0</v>
      </c>
      <c r="AE424" s="2">
        <v>0</v>
      </c>
      <c r="AF424" s="2">
        <v>0</v>
      </c>
      <c r="AG424" s="2">
        <v>0</v>
      </c>
      <c r="AH424" s="2">
        <v>0</v>
      </c>
      <c r="AI424" s="2">
        <v>0</v>
      </c>
      <c r="AJ424" s="2">
        <v>0</v>
      </c>
      <c r="AK424" s="2">
        <v>0</v>
      </c>
      <c r="AL424" s="2">
        <v>0</v>
      </c>
      <c r="AM424" s="2">
        <v>0</v>
      </c>
      <c r="AN424" s="2">
        <v>-8305.24</v>
      </c>
      <c r="AO424" s="2">
        <v>0</v>
      </c>
      <c r="AP424" s="2">
        <v>0</v>
      </c>
      <c r="AQ424" s="2">
        <v>0</v>
      </c>
      <c r="AR424" s="2">
        <v>-1568.29</v>
      </c>
      <c r="AS424" s="2">
        <v>0</v>
      </c>
      <c r="AT424" s="2">
        <v>0</v>
      </c>
      <c r="AU424" s="2">
        <v>0</v>
      </c>
      <c r="AV424" s="2">
        <v>0</v>
      </c>
      <c r="AW424" s="1">
        <v>420</v>
      </c>
    </row>
    <row r="425" spans="1:49" ht="12.75">
      <c r="A425" s="5">
        <v>4090</v>
      </c>
      <c r="B425" s="2" t="s">
        <v>1364</v>
      </c>
      <c r="C425" s="305">
        <v>0</v>
      </c>
      <c r="D425" s="305">
        <v>0</v>
      </c>
      <c r="E425" s="305">
        <v>0</v>
      </c>
      <c r="F425" s="305">
        <v>-215.38</v>
      </c>
      <c r="G425" s="305">
        <v>0</v>
      </c>
      <c r="H425" s="305">
        <v>0</v>
      </c>
      <c r="I425" s="305">
        <v>0</v>
      </c>
      <c r="J425" s="1" t="s">
        <v>701</v>
      </c>
      <c r="K425" s="3" t="s">
        <v>982</v>
      </c>
      <c r="L425" s="365"/>
      <c r="M425" s="2">
        <v>-215.38</v>
      </c>
      <c r="N425" s="311">
        <v>400</v>
      </c>
      <c r="O425" s="310" t="s">
        <v>458</v>
      </c>
      <c r="P425" s="309">
        <v>40</v>
      </c>
      <c r="Q425" s="60" t="s">
        <v>456</v>
      </c>
      <c r="R425" s="309">
        <v>5021</v>
      </c>
      <c r="S425" s="60" t="s">
        <v>201</v>
      </c>
      <c r="T425" s="61">
        <v>130</v>
      </c>
      <c r="U425" s="60" t="s">
        <v>502</v>
      </c>
      <c r="V425" s="1">
        <v>3</v>
      </c>
      <c r="W425" s="1" t="s">
        <v>37</v>
      </c>
      <c r="X425" s="1" t="s">
        <v>1215</v>
      </c>
      <c r="Y425" s="2">
        <v>0</v>
      </c>
      <c r="Z425" s="2">
        <v>0</v>
      </c>
      <c r="AA425" s="2">
        <v>0</v>
      </c>
      <c r="AB425" s="2">
        <v>0</v>
      </c>
      <c r="AC425" s="2">
        <v>0</v>
      </c>
      <c r="AD425" s="2">
        <v>0</v>
      </c>
      <c r="AE425" s="2">
        <v>0</v>
      </c>
      <c r="AF425" s="2">
        <v>0</v>
      </c>
      <c r="AG425" s="2">
        <v>0</v>
      </c>
      <c r="AH425" s="2">
        <v>0</v>
      </c>
      <c r="AI425" s="2">
        <v>0</v>
      </c>
      <c r="AJ425" s="2">
        <v>0</v>
      </c>
      <c r="AK425" s="2">
        <v>0</v>
      </c>
      <c r="AL425" s="2">
        <v>0</v>
      </c>
      <c r="AM425" s="2">
        <v>129.88</v>
      </c>
      <c r="AN425" s="2">
        <v>-29.16</v>
      </c>
      <c r="AO425" s="2">
        <v>0</v>
      </c>
      <c r="AP425" s="2">
        <v>0</v>
      </c>
      <c r="AQ425" s="2">
        <v>0</v>
      </c>
      <c r="AR425" s="2">
        <v>-316.1</v>
      </c>
      <c r="AS425" s="2">
        <v>0</v>
      </c>
      <c r="AT425" s="2">
        <v>0</v>
      </c>
      <c r="AU425" s="2">
        <v>0</v>
      </c>
      <c r="AV425" s="2">
        <v>0</v>
      </c>
      <c r="AW425" s="1">
        <v>421</v>
      </c>
    </row>
    <row r="426" spans="1:49" ht="12.75">
      <c r="A426" s="5">
        <v>4090</v>
      </c>
      <c r="B426" s="2" t="s">
        <v>1365</v>
      </c>
      <c r="C426" s="305">
        <v>0</v>
      </c>
      <c r="D426" s="305">
        <v>0</v>
      </c>
      <c r="E426" s="305">
        <v>0</v>
      </c>
      <c r="F426" s="305">
        <v>-3950.24</v>
      </c>
      <c r="G426" s="305">
        <v>0</v>
      </c>
      <c r="H426" s="305">
        <v>0</v>
      </c>
      <c r="I426" s="305">
        <v>0</v>
      </c>
      <c r="J426" s="1" t="s">
        <v>703</v>
      </c>
      <c r="K426" s="3" t="s">
        <v>982</v>
      </c>
      <c r="L426" s="365"/>
      <c r="M426" s="2">
        <v>-3950.24</v>
      </c>
      <c r="N426" s="311">
        <v>400</v>
      </c>
      <c r="O426" s="310" t="s">
        <v>458</v>
      </c>
      <c r="P426" s="309">
        <v>40</v>
      </c>
      <c r="Q426" s="60" t="s">
        <v>456</v>
      </c>
      <c r="R426" s="309">
        <v>5025</v>
      </c>
      <c r="S426" s="60" t="s">
        <v>204</v>
      </c>
      <c r="T426" s="61">
        <v>140</v>
      </c>
      <c r="U426" s="60" t="s">
        <v>504</v>
      </c>
      <c r="V426" s="1">
        <v>3</v>
      </c>
      <c r="W426" s="1" t="s">
        <v>37</v>
      </c>
      <c r="X426" s="1" t="s">
        <v>1219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  <c r="AE426" s="2">
        <v>0</v>
      </c>
      <c r="AF426" s="2">
        <v>0</v>
      </c>
      <c r="AG426" s="2">
        <v>0</v>
      </c>
      <c r="AH426" s="2">
        <v>0</v>
      </c>
      <c r="AI426" s="2">
        <v>0</v>
      </c>
      <c r="AJ426" s="2">
        <v>0</v>
      </c>
      <c r="AK426" s="2">
        <v>0</v>
      </c>
      <c r="AL426" s="2">
        <v>0</v>
      </c>
      <c r="AM426" s="2">
        <v>3226.04</v>
      </c>
      <c r="AN426" s="2">
        <v>0</v>
      </c>
      <c r="AO426" s="2">
        <v>0</v>
      </c>
      <c r="AP426" s="2">
        <v>0</v>
      </c>
      <c r="AQ426" s="2">
        <v>3760.38</v>
      </c>
      <c r="AR426" s="2">
        <v>-10936.66</v>
      </c>
      <c r="AS426" s="2">
        <v>0</v>
      </c>
      <c r="AT426" s="2">
        <v>0</v>
      </c>
      <c r="AU426" s="2">
        <v>0</v>
      </c>
      <c r="AV426" s="2">
        <v>0</v>
      </c>
      <c r="AW426" s="1">
        <v>422</v>
      </c>
    </row>
    <row r="427" spans="1:49" ht="12.75">
      <c r="A427" s="5">
        <v>4090</v>
      </c>
      <c r="B427" s="2" t="s">
        <v>1366</v>
      </c>
      <c r="C427" s="305">
        <v>0</v>
      </c>
      <c r="D427" s="305">
        <v>0</v>
      </c>
      <c r="E427" s="305">
        <v>0</v>
      </c>
      <c r="F427" s="305">
        <v>-2341.82</v>
      </c>
      <c r="G427" s="305">
        <v>0</v>
      </c>
      <c r="H427" s="305">
        <v>0</v>
      </c>
      <c r="I427" s="305">
        <v>0</v>
      </c>
      <c r="J427" s="1" t="s">
        <v>705</v>
      </c>
      <c r="K427" s="3" t="s">
        <v>982</v>
      </c>
      <c r="L427" s="365"/>
      <c r="M427" s="2">
        <v>-2341.82</v>
      </c>
      <c r="N427" s="311">
        <v>400</v>
      </c>
      <c r="O427" s="310" t="s">
        <v>458</v>
      </c>
      <c r="P427" s="309">
        <v>40</v>
      </c>
      <c r="Q427" s="60" t="s">
        <v>456</v>
      </c>
      <c r="R427" s="309">
        <v>5025</v>
      </c>
      <c r="S427" s="60" t="s">
        <v>204</v>
      </c>
      <c r="T427" s="61">
        <v>140</v>
      </c>
      <c r="U427" s="60" t="s">
        <v>504</v>
      </c>
      <c r="V427" s="1">
        <v>3</v>
      </c>
      <c r="W427" s="1" t="s">
        <v>37</v>
      </c>
      <c r="X427" s="1" t="s">
        <v>1219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0</v>
      </c>
      <c r="AE427" s="2">
        <v>0</v>
      </c>
      <c r="AF427" s="2">
        <v>0</v>
      </c>
      <c r="AG427" s="2">
        <v>0</v>
      </c>
      <c r="AH427" s="2">
        <v>0</v>
      </c>
      <c r="AI427" s="2">
        <v>0</v>
      </c>
      <c r="AJ427" s="2">
        <v>0</v>
      </c>
      <c r="AK427" s="2">
        <v>0</v>
      </c>
      <c r="AL427" s="2">
        <v>0</v>
      </c>
      <c r="AM427" s="2">
        <v>0</v>
      </c>
      <c r="AN427" s="2">
        <v>0</v>
      </c>
      <c r="AO427" s="2">
        <v>0</v>
      </c>
      <c r="AP427" s="2">
        <v>0</v>
      </c>
      <c r="AQ427" s="2">
        <v>0</v>
      </c>
      <c r="AR427" s="2">
        <v>-2341.82</v>
      </c>
      <c r="AS427" s="2">
        <v>0</v>
      </c>
      <c r="AT427" s="2">
        <v>0</v>
      </c>
      <c r="AU427" s="2">
        <v>0</v>
      </c>
      <c r="AV427" s="2">
        <v>0</v>
      </c>
      <c r="AW427" s="1">
        <v>423</v>
      </c>
    </row>
    <row r="428" spans="1:49" ht="12.75">
      <c r="A428" s="5">
        <v>4090</v>
      </c>
      <c r="B428" s="2" t="s">
        <v>1367</v>
      </c>
      <c r="C428" s="305">
        <v>0</v>
      </c>
      <c r="D428" s="305">
        <v>0</v>
      </c>
      <c r="E428" s="305">
        <v>0</v>
      </c>
      <c r="F428" s="305">
        <v>-1137.72</v>
      </c>
      <c r="G428" s="305">
        <v>0</v>
      </c>
      <c r="H428" s="305">
        <v>0</v>
      </c>
      <c r="I428" s="305">
        <v>0</v>
      </c>
      <c r="J428" s="1" t="s">
        <v>707</v>
      </c>
      <c r="K428" s="3" t="s">
        <v>982</v>
      </c>
      <c r="L428" s="365"/>
      <c r="M428" s="2">
        <v>-1137.72</v>
      </c>
      <c r="N428" s="311">
        <v>400</v>
      </c>
      <c r="O428" s="310" t="s">
        <v>458</v>
      </c>
      <c r="P428" s="309">
        <v>40</v>
      </c>
      <c r="Q428" s="60" t="s">
        <v>456</v>
      </c>
      <c r="R428" s="309">
        <v>5025</v>
      </c>
      <c r="S428" s="60" t="s">
        <v>204</v>
      </c>
      <c r="T428" s="61">
        <v>140</v>
      </c>
      <c r="U428" s="60" t="s">
        <v>504</v>
      </c>
      <c r="V428" s="1">
        <v>3</v>
      </c>
      <c r="W428" s="1" t="s">
        <v>37</v>
      </c>
      <c r="X428" s="1" t="s">
        <v>1222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0</v>
      </c>
      <c r="AE428" s="2">
        <v>0</v>
      </c>
      <c r="AF428" s="2">
        <v>0</v>
      </c>
      <c r="AG428" s="2">
        <v>0</v>
      </c>
      <c r="AH428" s="2">
        <v>0</v>
      </c>
      <c r="AI428" s="2">
        <v>0</v>
      </c>
      <c r="AJ428" s="2">
        <v>0</v>
      </c>
      <c r="AK428" s="2">
        <v>0</v>
      </c>
      <c r="AL428" s="2">
        <v>0</v>
      </c>
      <c r="AM428" s="2">
        <v>0</v>
      </c>
      <c r="AN428" s="2">
        <v>0</v>
      </c>
      <c r="AO428" s="2">
        <v>0</v>
      </c>
      <c r="AP428" s="2">
        <v>0</v>
      </c>
      <c r="AQ428" s="2">
        <v>0</v>
      </c>
      <c r="AR428" s="2">
        <v>-1137.72</v>
      </c>
      <c r="AS428" s="2">
        <v>0</v>
      </c>
      <c r="AT428" s="2">
        <v>0</v>
      </c>
      <c r="AU428" s="2">
        <v>0</v>
      </c>
      <c r="AV428" s="2">
        <v>0</v>
      </c>
      <c r="AW428" s="1">
        <v>424</v>
      </c>
    </row>
    <row r="429" spans="1:49" ht="12.75">
      <c r="A429" s="5">
        <v>4090</v>
      </c>
      <c r="B429" s="2" t="s">
        <v>1368</v>
      </c>
      <c r="C429" s="305">
        <v>0</v>
      </c>
      <c r="D429" s="305">
        <v>0</v>
      </c>
      <c r="E429" s="305">
        <v>0</v>
      </c>
      <c r="F429" s="305">
        <v>2842.73</v>
      </c>
      <c r="G429" s="305">
        <v>0</v>
      </c>
      <c r="H429" s="305">
        <v>0</v>
      </c>
      <c r="I429" s="305">
        <v>0</v>
      </c>
      <c r="J429" s="1" t="s">
        <v>709</v>
      </c>
      <c r="K429" s="3" t="s">
        <v>982</v>
      </c>
      <c r="L429" s="365"/>
      <c r="M429" s="2">
        <v>2842.73</v>
      </c>
      <c r="N429" s="311">
        <v>400</v>
      </c>
      <c r="O429" s="310" t="s">
        <v>458</v>
      </c>
      <c r="P429" s="309">
        <v>40</v>
      </c>
      <c r="Q429" s="60" t="s">
        <v>456</v>
      </c>
      <c r="R429" s="309">
        <v>5025</v>
      </c>
      <c r="S429" s="60" t="s">
        <v>204</v>
      </c>
      <c r="T429" s="61">
        <v>140</v>
      </c>
      <c r="U429" s="60" t="s">
        <v>504</v>
      </c>
      <c r="V429" s="1">
        <v>3</v>
      </c>
      <c r="W429" s="1" t="s">
        <v>37</v>
      </c>
      <c r="X429" s="1" t="s">
        <v>1224</v>
      </c>
      <c r="Y429" s="2">
        <v>0</v>
      </c>
      <c r="Z429" s="2">
        <v>0</v>
      </c>
      <c r="AA429" s="2">
        <v>0</v>
      </c>
      <c r="AB429" s="2">
        <v>0</v>
      </c>
      <c r="AC429" s="2">
        <v>0</v>
      </c>
      <c r="AD429" s="2">
        <v>0</v>
      </c>
      <c r="AE429" s="2">
        <v>0</v>
      </c>
      <c r="AF429" s="2">
        <v>0</v>
      </c>
      <c r="AG429" s="2">
        <v>0</v>
      </c>
      <c r="AH429" s="2">
        <v>0</v>
      </c>
      <c r="AI429" s="2">
        <v>0</v>
      </c>
      <c r="AJ429" s="2">
        <v>0</v>
      </c>
      <c r="AK429" s="2">
        <v>0</v>
      </c>
      <c r="AL429" s="2">
        <v>0</v>
      </c>
      <c r="AM429" s="2">
        <v>0</v>
      </c>
      <c r="AN429" s="2">
        <v>0</v>
      </c>
      <c r="AO429" s="2">
        <v>0</v>
      </c>
      <c r="AP429" s="2">
        <v>0</v>
      </c>
      <c r="AQ429" s="2">
        <v>0</v>
      </c>
      <c r="AR429" s="2">
        <v>2842.73</v>
      </c>
      <c r="AS429" s="2">
        <v>0</v>
      </c>
      <c r="AT429" s="2">
        <v>0</v>
      </c>
      <c r="AU429" s="2">
        <v>0</v>
      </c>
      <c r="AV429" s="2">
        <v>0</v>
      </c>
      <c r="AW429" s="1">
        <v>425</v>
      </c>
    </row>
    <row r="430" spans="1:49" ht="12.75">
      <c r="A430" s="5">
        <v>4090</v>
      </c>
      <c r="B430" s="2" t="s">
        <v>1369</v>
      </c>
      <c r="C430" s="305">
        <v>0</v>
      </c>
      <c r="D430" s="305">
        <v>0</v>
      </c>
      <c r="E430" s="305">
        <v>0</v>
      </c>
      <c r="F430" s="305">
        <v>-10076.23</v>
      </c>
      <c r="G430" s="305">
        <v>0</v>
      </c>
      <c r="H430" s="305">
        <v>0</v>
      </c>
      <c r="I430" s="305">
        <v>0</v>
      </c>
      <c r="J430" s="1" t="s">
        <v>711</v>
      </c>
      <c r="K430" s="3" t="s">
        <v>982</v>
      </c>
      <c r="L430" s="365"/>
      <c r="M430" s="2">
        <v>-10076.23</v>
      </c>
      <c r="N430" s="311">
        <v>400</v>
      </c>
      <c r="O430" s="310" t="s">
        <v>458</v>
      </c>
      <c r="P430" s="309">
        <v>40</v>
      </c>
      <c r="Q430" s="60" t="s">
        <v>456</v>
      </c>
      <c r="R430" s="309">
        <v>5025</v>
      </c>
      <c r="S430" s="60" t="s">
        <v>204</v>
      </c>
      <c r="T430" s="61">
        <v>140</v>
      </c>
      <c r="U430" s="60" t="s">
        <v>504</v>
      </c>
      <c r="V430" s="1">
        <v>3</v>
      </c>
      <c r="W430" s="1" t="s">
        <v>37</v>
      </c>
      <c r="X430" s="1" t="s">
        <v>1226</v>
      </c>
      <c r="Y430" s="2">
        <v>0</v>
      </c>
      <c r="Z430" s="2">
        <v>0</v>
      </c>
      <c r="AA430" s="2">
        <v>0</v>
      </c>
      <c r="AB430" s="2">
        <v>0</v>
      </c>
      <c r="AC430" s="2">
        <v>0</v>
      </c>
      <c r="AD430" s="2">
        <v>0</v>
      </c>
      <c r="AE430" s="2">
        <v>0</v>
      </c>
      <c r="AF430" s="2">
        <v>0</v>
      </c>
      <c r="AG430" s="2">
        <v>0</v>
      </c>
      <c r="AH430" s="2">
        <v>0</v>
      </c>
      <c r="AI430" s="2">
        <v>0</v>
      </c>
      <c r="AJ430" s="2">
        <v>0</v>
      </c>
      <c r="AK430" s="2">
        <v>0</v>
      </c>
      <c r="AL430" s="2">
        <v>0</v>
      </c>
      <c r="AM430" s="2">
        <v>0</v>
      </c>
      <c r="AN430" s="2">
        <v>0</v>
      </c>
      <c r="AO430" s="2">
        <v>0</v>
      </c>
      <c r="AP430" s="2">
        <v>0</v>
      </c>
      <c r="AQ430" s="2">
        <v>0</v>
      </c>
      <c r="AR430" s="2">
        <v>-10076.23</v>
      </c>
      <c r="AS430" s="2">
        <v>0</v>
      </c>
      <c r="AT430" s="2">
        <v>0</v>
      </c>
      <c r="AU430" s="2">
        <v>0</v>
      </c>
      <c r="AV430" s="2">
        <v>0</v>
      </c>
      <c r="AW430" s="1">
        <v>426</v>
      </c>
    </row>
    <row r="431" spans="1:49" ht="12.75">
      <c r="A431" s="5">
        <v>4090</v>
      </c>
      <c r="B431" s="2" t="s">
        <v>1370</v>
      </c>
      <c r="C431" s="305">
        <v>0</v>
      </c>
      <c r="D431" s="305">
        <v>0</v>
      </c>
      <c r="E431" s="305">
        <v>0</v>
      </c>
      <c r="F431" s="305">
        <v>-4004.87</v>
      </c>
      <c r="G431" s="305">
        <v>0</v>
      </c>
      <c r="H431" s="305">
        <v>0</v>
      </c>
      <c r="I431" s="305">
        <v>0</v>
      </c>
      <c r="J431" s="1" t="s">
        <v>715</v>
      </c>
      <c r="K431" s="3" t="s">
        <v>982</v>
      </c>
      <c r="L431" s="365"/>
      <c r="M431" s="2">
        <v>-4004.87</v>
      </c>
      <c r="N431" s="311">
        <v>400</v>
      </c>
      <c r="O431" s="310" t="s">
        <v>458</v>
      </c>
      <c r="P431" s="309">
        <v>40</v>
      </c>
      <c r="Q431" s="60" t="s">
        <v>456</v>
      </c>
      <c r="R431" s="309">
        <v>5027</v>
      </c>
      <c r="S431" s="60" t="s">
        <v>206</v>
      </c>
      <c r="T431" s="61">
        <v>160</v>
      </c>
      <c r="U431" s="60" t="s">
        <v>716</v>
      </c>
      <c r="V431" s="1">
        <v>3</v>
      </c>
      <c r="W431" s="1" t="s">
        <v>37</v>
      </c>
      <c r="X431" s="1" t="s">
        <v>1231</v>
      </c>
      <c r="Y431" s="2">
        <v>0</v>
      </c>
      <c r="Z431" s="2">
        <v>0</v>
      </c>
      <c r="AA431" s="2">
        <v>0</v>
      </c>
      <c r="AB431" s="2">
        <v>0</v>
      </c>
      <c r="AC431" s="2">
        <v>0</v>
      </c>
      <c r="AD431" s="2">
        <v>0</v>
      </c>
      <c r="AE431" s="2">
        <v>0</v>
      </c>
      <c r="AF431" s="2">
        <v>0</v>
      </c>
      <c r="AG431" s="2">
        <v>0</v>
      </c>
      <c r="AH431" s="2">
        <v>0</v>
      </c>
      <c r="AI431" s="2">
        <v>0</v>
      </c>
      <c r="AJ431" s="2">
        <v>0</v>
      </c>
      <c r="AK431" s="2">
        <v>0</v>
      </c>
      <c r="AL431" s="2">
        <v>0</v>
      </c>
      <c r="AM431" s="2">
        <v>0</v>
      </c>
      <c r="AN431" s="2">
        <v>0</v>
      </c>
      <c r="AO431" s="2">
        <v>0</v>
      </c>
      <c r="AP431" s="2">
        <v>0</v>
      </c>
      <c r="AQ431" s="2">
        <v>16854</v>
      </c>
      <c r="AR431" s="2">
        <v>-20858.87</v>
      </c>
      <c r="AS431" s="2">
        <v>0</v>
      </c>
      <c r="AT431" s="2">
        <v>0</v>
      </c>
      <c r="AU431" s="2">
        <v>0</v>
      </c>
      <c r="AV431" s="2">
        <v>0</v>
      </c>
      <c r="AW431" s="1">
        <v>427</v>
      </c>
    </row>
    <row r="432" spans="1:49" ht="12.75">
      <c r="A432" s="5">
        <v>4090</v>
      </c>
      <c r="B432" s="2" t="s">
        <v>1371</v>
      </c>
      <c r="C432" s="305">
        <v>0</v>
      </c>
      <c r="D432" s="305">
        <v>0</v>
      </c>
      <c r="E432" s="305">
        <v>0</v>
      </c>
      <c r="F432" s="305">
        <v>21053.02</v>
      </c>
      <c r="G432" s="305">
        <v>0</v>
      </c>
      <c r="H432" s="305">
        <v>0</v>
      </c>
      <c r="I432" s="305">
        <v>0</v>
      </c>
      <c r="J432" s="1" t="s">
        <v>718</v>
      </c>
      <c r="K432" s="3" t="s">
        <v>982</v>
      </c>
      <c r="L432" s="365"/>
      <c r="M432" s="2">
        <v>21053.02</v>
      </c>
      <c r="N432" s="311">
        <v>400</v>
      </c>
      <c r="O432" s="310" t="s">
        <v>458</v>
      </c>
      <c r="P432" s="309">
        <v>40</v>
      </c>
      <c r="Q432" s="60" t="s">
        <v>456</v>
      </c>
      <c r="R432" s="309">
        <v>5027</v>
      </c>
      <c r="S432" s="60" t="s">
        <v>206</v>
      </c>
      <c r="T432" s="61">
        <v>160</v>
      </c>
      <c r="U432" s="60" t="s">
        <v>716</v>
      </c>
      <c r="V432" s="1">
        <v>3</v>
      </c>
      <c r="W432" s="1" t="s">
        <v>37</v>
      </c>
      <c r="X432" s="1" t="s">
        <v>1231</v>
      </c>
      <c r="Y432" s="2">
        <v>0</v>
      </c>
      <c r="Z432" s="2">
        <v>0</v>
      </c>
      <c r="AA432" s="2">
        <v>0</v>
      </c>
      <c r="AB432" s="2">
        <v>0</v>
      </c>
      <c r="AC432" s="2">
        <v>0</v>
      </c>
      <c r="AD432" s="2">
        <v>0</v>
      </c>
      <c r="AE432" s="2">
        <v>0</v>
      </c>
      <c r="AF432" s="2">
        <v>0</v>
      </c>
      <c r="AG432" s="2">
        <v>0</v>
      </c>
      <c r="AH432" s="2">
        <v>0</v>
      </c>
      <c r="AI432" s="2">
        <v>0</v>
      </c>
      <c r="AJ432" s="2">
        <v>0</v>
      </c>
      <c r="AK432" s="2">
        <v>0</v>
      </c>
      <c r="AL432" s="2">
        <v>0</v>
      </c>
      <c r="AM432" s="2">
        <v>0</v>
      </c>
      <c r="AN432" s="2">
        <v>0</v>
      </c>
      <c r="AO432" s="2">
        <v>0</v>
      </c>
      <c r="AP432" s="2">
        <v>0</v>
      </c>
      <c r="AQ432" s="2">
        <v>0</v>
      </c>
      <c r="AR432" s="2">
        <v>21053.02</v>
      </c>
      <c r="AS432" s="2">
        <v>0</v>
      </c>
      <c r="AT432" s="2">
        <v>0</v>
      </c>
      <c r="AU432" s="2">
        <v>0</v>
      </c>
      <c r="AV432" s="2">
        <v>0</v>
      </c>
      <c r="AW432" s="1">
        <v>428</v>
      </c>
    </row>
    <row r="433" spans="1:49" ht="12.75">
      <c r="A433" s="5">
        <v>4090</v>
      </c>
      <c r="B433" s="2" t="s">
        <v>1372</v>
      </c>
      <c r="C433" s="305">
        <v>0</v>
      </c>
      <c r="D433" s="305">
        <v>0</v>
      </c>
      <c r="E433" s="305">
        <v>0</v>
      </c>
      <c r="F433" s="305">
        <v>9470.23</v>
      </c>
      <c r="G433" s="305">
        <v>0</v>
      </c>
      <c r="H433" s="305">
        <v>0</v>
      </c>
      <c r="I433" s="305">
        <v>0</v>
      </c>
      <c r="J433" s="1" t="s">
        <v>720</v>
      </c>
      <c r="K433" s="3" t="s">
        <v>982</v>
      </c>
      <c r="L433" s="365"/>
      <c r="M433" s="2">
        <v>9470.23</v>
      </c>
      <c r="N433" s="311">
        <v>400</v>
      </c>
      <c r="O433" s="310" t="s">
        <v>458</v>
      </c>
      <c r="P433" s="309">
        <v>40</v>
      </c>
      <c r="Q433" s="60" t="s">
        <v>456</v>
      </c>
      <c r="R433" s="309">
        <v>5027</v>
      </c>
      <c r="S433" s="60" t="s">
        <v>206</v>
      </c>
      <c r="T433" s="61">
        <v>160</v>
      </c>
      <c r="U433" s="60" t="s">
        <v>716</v>
      </c>
      <c r="V433" s="1">
        <v>3</v>
      </c>
      <c r="W433" s="1" t="s">
        <v>37</v>
      </c>
      <c r="X433" s="1" t="s">
        <v>1234</v>
      </c>
      <c r="Y433" s="2">
        <v>0</v>
      </c>
      <c r="Z433" s="2">
        <v>0</v>
      </c>
      <c r="AA433" s="2">
        <v>0</v>
      </c>
      <c r="AB433" s="2">
        <v>0</v>
      </c>
      <c r="AC433" s="2">
        <v>0</v>
      </c>
      <c r="AD433" s="2">
        <v>0</v>
      </c>
      <c r="AE433" s="2">
        <v>0</v>
      </c>
      <c r="AF433" s="2">
        <v>0</v>
      </c>
      <c r="AG433" s="2">
        <v>0</v>
      </c>
      <c r="AH433" s="2">
        <v>0</v>
      </c>
      <c r="AI433" s="2">
        <v>0</v>
      </c>
      <c r="AJ433" s="2">
        <v>0</v>
      </c>
      <c r="AK433" s="2">
        <v>0</v>
      </c>
      <c r="AL433" s="2">
        <v>0</v>
      </c>
      <c r="AM433" s="2">
        <v>3614.76</v>
      </c>
      <c r="AN433" s="2">
        <v>0</v>
      </c>
      <c r="AO433" s="2">
        <v>0</v>
      </c>
      <c r="AP433" s="2">
        <v>0</v>
      </c>
      <c r="AQ433" s="2">
        <v>0</v>
      </c>
      <c r="AR433" s="2">
        <v>5855.47</v>
      </c>
      <c r="AS433" s="2">
        <v>0</v>
      </c>
      <c r="AT433" s="2">
        <v>0</v>
      </c>
      <c r="AU433" s="2">
        <v>0</v>
      </c>
      <c r="AV433" s="2">
        <v>0</v>
      </c>
      <c r="AW433" s="1">
        <v>429</v>
      </c>
    </row>
    <row r="434" spans="1:49" ht="12.75">
      <c r="A434" s="5">
        <v>4090</v>
      </c>
      <c r="B434" s="2" t="s">
        <v>1373</v>
      </c>
      <c r="C434" s="305">
        <v>0</v>
      </c>
      <c r="D434" s="305">
        <v>0</v>
      </c>
      <c r="E434" s="305">
        <v>0</v>
      </c>
      <c r="F434" s="305">
        <v>-8999.05</v>
      </c>
      <c r="G434" s="305">
        <v>0</v>
      </c>
      <c r="H434" s="305">
        <v>0</v>
      </c>
      <c r="I434" s="305">
        <v>0</v>
      </c>
      <c r="J434" s="1" t="s">
        <v>722</v>
      </c>
      <c r="K434" s="3" t="s">
        <v>982</v>
      </c>
      <c r="L434" s="365"/>
      <c r="M434" s="2">
        <v>-8999.05</v>
      </c>
      <c r="N434" s="311">
        <v>400</v>
      </c>
      <c r="O434" s="310" t="s">
        <v>458</v>
      </c>
      <c r="P434" s="309">
        <v>40</v>
      </c>
      <c r="Q434" s="60" t="s">
        <v>456</v>
      </c>
      <c r="R434" s="309">
        <v>5027</v>
      </c>
      <c r="S434" s="60" t="s">
        <v>206</v>
      </c>
      <c r="T434" s="61">
        <v>160</v>
      </c>
      <c r="U434" s="60" t="s">
        <v>716</v>
      </c>
      <c r="V434" s="1">
        <v>3</v>
      </c>
      <c r="W434" s="1" t="s">
        <v>37</v>
      </c>
      <c r="X434" s="1" t="s">
        <v>1231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  <c r="AE434" s="2">
        <v>0</v>
      </c>
      <c r="AF434" s="2">
        <v>0</v>
      </c>
      <c r="AG434" s="2">
        <v>0</v>
      </c>
      <c r="AH434" s="2">
        <v>0</v>
      </c>
      <c r="AI434" s="2">
        <v>0</v>
      </c>
      <c r="AJ434" s="2">
        <v>0</v>
      </c>
      <c r="AK434" s="2">
        <v>0</v>
      </c>
      <c r="AL434" s="2">
        <v>0</v>
      </c>
      <c r="AM434" s="2">
        <v>0</v>
      </c>
      <c r="AN434" s="2">
        <v>0</v>
      </c>
      <c r="AO434" s="2">
        <v>0</v>
      </c>
      <c r="AP434" s="2">
        <v>0</v>
      </c>
      <c r="AQ434" s="2">
        <v>0</v>
      </c>
      <c r="AR434" s="2">
        <v>-8999.05</v>
      </c>
      <c r="AS434" s="2">
        <v>0</v>
      </c>
      <c r="AT434" s="2">
        <v>0</v>
      </c>
      <c r="AU434" s="2">
        <v>0</v>
      </c>
      <c r="AV434" s="2">
        <v>0</v>
      </c>
      <c r="AW434" s="1">
        <v>430</v>
      </c>
    </row>
    <row r="435" spans="1:49" ht="12.75">
      <c r="A435" s="5">
        <v>4090</v>
      </c>
      <c r="B435" s="2" t="s">
        <v>1374</v>
      </c>
      <c r="C435" s="305">
        <v>0</v>
      </c>
      <c r="D435" s="305">
        <v>0</v>
      </c>
      <c r="E435" s="305">
        <v>0</v>
      </c>
      <c r="F435" s="305">
        <v>23152.06</v>
      </c>
      <c r="G435" s="305">
        <v>0</v>
      </c>
      <c r="H435" s="305">
        <v>0</v>
      </c>
      <c r="I435" s="305">
        <v>0</v>
      </c>
      <c r="J435" s="1" t="s">
        <v>724</v>
      </c>
      <c r="K435" s="3" t="s">
        <v>982</v>
      </c>
      <c r="L435" s="365"/>
      <c r="M435" s="2">
        <v>23152.06</v>
      </c>
      <c r="N435" s="311">
        <v>400</v>
      </c>
      <c r="O435" s="310" t="s">
        <v>458</v>
      </c>
      <c r="P435" s="309">
        <v>40</v>
      </c>
      <c r="Q435" s="60" t="s">
        <v>456</v>
      </c>
      <c r="R435" s="309">
        <v>5027</v>
      </c>
      <c r="S435" s="60" t="s">
        <v>206</v>
      </c>
      <c r="T435" s="61">
        <v>160</v>
      </c>
      <c r="U435" s="60" t="s">
        <v>716</v>
      </c>
      <c r="V435" s="1">
        <v>3</v>
      </c>
      <c r="W435" s="1" t="s">
        <v>37</v>
      </c>
      <c r="X435" s="1" t="s">
        <v>1237</v>
      </c>
      <c r="Y435" s="2">
        <v>0</v>
      </c>
      <c r="Z435" s="2">
        <v>0</v>
      </c>
      <c r="AA435" s="2">
        <v>0</v>
      </c>
      <c r="AB435" s="2">
        <v>0</v>
      </c>
      <c r="AC435" s="2">
        <v>0</v>
      </c>
      <c r="AD435" s="2">
        <v>0</v>
      </c>
      <c r="AE435" s="2">
        <v>0</v>
      </c>
      <c r="AF435" s="2">
        <v>0</v>
      </c>
      <c r="AG435" s="2">
        <v>0</v>
      </c>
      <c r="AH435" s="2">
        <v>0</v>
      </c>
      <c r="AI435" s="2">
        <v>0</v>
      </c>
      <c r="AJ435" s="2">
        <v>0</v>
      </c>
      <c r="AK435" s="2">
        <v>0</v>
      </c>
      <c r="AL435" s="2">
        <v>0</v>
      </c>
      <c r="AM435" s="2">
        <v>0</v>
      </c>
      <c r="AN435" s="2">
        <v>0</v>
      </c>
      <c r="AO435" s="2">
        <v>20568</v>
      </c>
      <c r="AP435" s="2">
        <v>20788.7</v>
      </c>
      <c r="AQ435" s="2">
        <v>0</v>
      </c>
      <c r="AR435" s="2">
        <v>-18204.64</v>
      </c>
      <c r="AS435" s="2">
        <v>0</v>
      </c>
      <c r="AT435" s="2">
        <v>0</v>
      </c>
      <c r="AU435" s="2">
        <v>0</v>
      </c>
      <c r="AV435" s="2">
        <v>0</v>
      </c>
      <c r="AW435" s="1">
        <v>431</v>
      </c>
    </row>
    <row r="436" spans="1:49" ht="12.75">
      <c r="A436" s="5">
        <v>4090</v>
      </c>
      <c r="B436" s="2" t="s">
        <v>1375</v>
      </c>
      <c r="C436" s="305">
        <v>0</v>
      </c>
      <c r="D436" s="305">
        <v>0</v>
      </c>
      <c r="E436" s="305">
        <v>0</v>
      </c>
      <c r="F436" s="305">
        <v>-518.48</v>
      </c>
      <c r="G436" s="305">
        <v>0</v>
      </c>
      <c r="H436" s="305">
        <v>0</v>
      </c>
      <c r="I436" s="305">
        <v>0</v>
      </c>
      <c r="J436" s="1" t="s">
        <v>726</v>
      </c>
      <c r="K436" s="3" t="s">
        <v>982</v>
      </c>
      <c r="L436" s="365"/>
      <c r="M436" s="2">
        <v>-518.48</v>
      </c>
      <c r="N436" s="311">
        <v>400</v>
      </c>
      <c r="O436" s="310" t="s">
        <v>458</v>
      </c>
      <c r="P436" s="309">
        <v>40</v>
      </c>
      <c r="Q436" s="60" t="s">
        <v>456</v>
      </c>
      <c r="R436" s="309">
        <v>5027</v>
      </c>
      <c r="S436" s="60" t="s">
        <v>206</v>
      </c>
      <c r="T436" s="61">
        <v>160</v>
      </c>
      <c r="U436" s="60" t="s">
        <v>716</v>
      </c>
      <c r="V436" s="1">
        <v>3</v>
      </c>
      <c r="W436" s="1" t="s">
        <v>37</v>
      </c>
      <c r="X436" s="1" t="s">
        <v>1231</v>
      </c>
      <c r="Y436" s="2">
        <v>0</v>
      </c>
      <c r="Z436" s="2">
        <v>0</v>
      </c>
      <c r="AA436" s="2">
        <v>0</v>
      </c>
      <c r="AB436" s="2">
        <v>0</v>
      </c>
      <c r="AC436" s="2">
        <v>0</v>
      </c>
      <c r="AD436" s="2">
        <v>0</v>
      </c>
      <c r="AE436" s="2">
        <v>0</v>
      </c>
      <c r="AF436" s="2">
        <v>0</v>
      </c>
      <c r="AG436" s="2">
        <v>0</v>
      </c>
      <c r="AH436" s="2">
        <v>0</v>
      </c>
      <c r="AI436" s="2">
        <v>0</v>
      </c>
      <c r="AJ436" s="2">
        <v>0</v>
      </c>
      <c r="AK436" s="2">
        <v>0</v>
      </c>
      <c r="AL436" s="2">
        <v>0</v>
      </c>
      <c r="AM436" s="2">
        <v>0</v>
      </c>
      <c r="AN436" s="2">
        <v>0</v>
      </c>
      <c r="AO436" s="2">
        <v>0</v>
      </c>
      <c r="AP436" s="2">
        <v>0</v>
      </c>
      <c r="AQ436" s="2">
        <v>0</v>
      </c>
      <c r="AR436" s="2">
        <v>-518.48</v>
      </c>
      <c r="AS436" s="2">
        <v>0</v>
      </c>
      <c r="AT436" s="2">
        <v>0</v>
      </c>
      <c r="AU436" s="2">
        <v>0</v>
      </c>
      <c r="AV436" s="2">
        <v>0</v>
      </c>
      <c r="AW436" s="1">
        <v>432</v>
      </c>
    </row>
    <row r="437" spans="1:49" ht="12.75">
      <c r="A437" s="5">
        <v>4090</v>
      </c>
      <c r="B437" s="2" t="s">
        <v>1376</v>
      </c>
      <c r="C437" s="305">
        <v>0</v>
      </c>
      <c r="D437" s="305">
        <v>0</v>
      </c>
      <c r="E437" s="305">
        <v>0</v>
      </c>
      <c r="F437" s="305">
        <v>10937.63</v>
      </c>
      <c r="G437" s="305">
        <v>0</v>
      </c>
      <c r="H437" s="305">
        <v>0</v>
      </c>
      <c r="I437" s="305">
        <v>0</v>
      </c>
      <c r="J437" s="1" t="s">
        <v>728</v>
      </c>
      <c r="K437" s="3" t="s">
        <v>982</v>
      </c>
      <c r="L437" s="365"/>
      <c r="M437" s="2">
        <v>10937.63</v>
      </c>
      <c r="N437" s="311">
        <v>400</v>
      </c>
      <c r="O437" s="310" t="s">
        <v>458</v>
      </c>
      <c r="P437" s="309">
        <v>40</v>
      </c>
      <c r="Q437" s="60" t="s">
        <v>456</v>
      </c>
      <c r="R437" s="309">
        <v>5029</v>
      </c>
      <c r="S437" s="60" t="s">
        <v>208</v>
      </c>
      <c r="T437" s="61">
        <v>170</v>
      </c>
      <c r="U437" s="60" t="s">
        <v>501</v>
      </c>
      <c r="V437" s="1">
        <v>3</v>
      </c>
      <c r="W437" s="1" t="s">
        <v>37</v>
      </c>
      <c r="X437" s="1" t="s">
        <v>1240</v>
      </c>
      <c r="Y437" s="2">
        <v>0</v>
      </c>
      <c r="Z437" s="2">
        <v>0</v>
      </c>
      <c r="AA437" s="2">
        <v>0</v>
      </c>
      <c r="AB437" s="2">
        <v>0</v>
      </c>
      <c r="AC437" s="2">
        <v>0</v>
      </c>
      <c r="AD437" s="2">
        <v>0</v>
      </c>
      <c r="AE437" s="2">
        <v>0</v>
      </c>
      <c r="AF437" s="2">
        <v>0</v>
      </c>
      <c r="AG437" s="2">
        <v>0</v>
      </c>
      <c r="AH437" s="2">
        <v>0</v>
      </c>
      <c r="AI437" s="2">
        <v>0</v>
      </c>
      <c r="AJ437" s="2">
        <v>0</v>
      </c>
      <c r="AK437" s="2">
        <v>0</v>
      </c>
      <c r="AL437" s="2">
        <v>0</v>
      </c>
      <c r="AM437" s="2">
        <v>6585.63</v>
      </c>
      <c r="AN437" s="2">
        <v>0</v>
      </c>
      <c r="AO437" s="2">
        <v>0</v>
      </c>
      <c r="AP437" s="2">
        <v>0</v>
      </c>
      <c r="AQ437" s="2">
        <v>4352</v>
      </c>
      <c r="AR437" s="2">
        <v>0</v>
      </c>
      <c r="AS437" s="2">
        <v>0</v>
      </c>
      <c r="AT437" s="2">
        <v>0</v>
      </c>
      <c r="AU437" s="2">
        <v>0</v>
      </c>
      <c r="AV437" s="2">
        <v>0</v>
      </c>
      <c r="AW437" s="1">
        <v>433</v>
      </c>
    </row>
    <row r="438" spans="1:49" ht="12.75">
      <c r="A438" s="5">
        <v>4090</v>
      </c>
      <c r="B438" s="2" t="s">
        <v>1377</v>
      </c>
      <c r="C438" s="305">
        <v>0</v>
      </c>
      <c r="D438" s="305">
        <v>0</v>
      </c>
      <c r="E438" s="305">
        <v>0</v>
      </c>
      <c r="F438" s="305">
        <v>10290.64</v>
      </c>
      <c r="G438" s="305">
        <v>0</v>
      </c>
      <c r="H438" s="305">
        <v>0</v>
      </c>
      <c r="I438" s="305">
        <v>0</v>
      </c>
      <c r="J438" s="1" t="s">
        <v>736</v>
      </c>
      <c r="K438" s="3" t="s">
        <v>982</v>
      </c>
      <c r="L438" s="365"/>
      <c r="M438" s="2">
        <v>10290.64</v>
      </c>
      <c r="N438" s="311">
        <v>400</v>
      </c>
      <c r="O438" s="310" t="s">
        <v>458</v>
      </c>
      <c r="P438" s="309">
        <v>40</v>
      </c>
      <c r="Q438" s="60" t="s">
        <v>456</v>
      </c>
      <c r="R438" s="309">
        <v>5022</v>
      </c>
      <c r="S438" s="60" t="s">
        <v>202</v>
      </c>
      <c r="T438" s="61">
        <v>180</v>
      </c>
      <c r="U438" s="60" t="s">
        <v>385</v>
      </c>
      <c r="V438" s="1">
        <v>3</v>
      </c>
      <c r="W438" s="1" t="s">
        <v>37</v>
      </c>
      <c r="X438" s="1" t="s">
        <v>1249</v>
      </c>
      <c r="Y438" s="2">
        <v>0</v>
      </c>
      <c r="Z438" s="2">
        <v>0</v>
      </c>
      <c r="AA438" s="2">
        <v>0</v>
      </c>
      <c r="AB438" s="2">
        <v>0</v>
      </c>
      <c r="AC438" s="2">
        <v>0</v>
      </c>
      <c r="AD438" s="2">
        <v>0</v>
      </c>
      <c r="AE438" s="2">
        <v>0</v>
      </c>
      <c r="AF438" s="2">
        <v>0</v>
      </c>
      <c r="AG438" s="2">
        <v>0</v>
      </c>
      <c r="AH438" s="2">
        <v>0</v>
      </c>
      <c r="AI438" s="2">
        <v>0</v>
      </c>
      <c r="AJ438" s="2">
        <v>0</v>
      </c>
      <c r="AK438" s="2">
        <v>0</v>
      </c>
      <c r="AL438" s="2">
        <v>0</v>
      </c>
      <c r="AM438" s="2">
        <v>-57041.5</v>
      </c>
      <c r="AN438" s="2">
        <v>6513.65</v>
      </c>
      <c r="AO438" s="2">
        <v>0</v>
      </c>
      <c r="AP438" s="2">
        <v>0</v>
      </c>
      <c r="AQ438" s="2">
        <v>60818.49</v>
      </c>
      <c r="AR438" s="2">
        <v>0</v>
      </c>
      <c r="AS438" s="2">
        <v>0</v>
      </c>
      <c r="AT438" s="2">
        <v>0</v>
      </c>
      <c r="AU438" s="2">
        <v>0</v>
      </c>
      <c r="AV438" s="2">
        <v>0</v>
      </c>
      <c r="AW438" s="1">
        <v>434</v>
      </c>
    </row>
    <row r="439" spans="1:49" ht="12.75">
      <c r="A439" s="5">
        <v>4090</v>
      </c>
      <c r="B439" s="2" t="s">
        <v>1378</v>
      </c>
      <c r="C439" s="305">
        <v>0</v>
      </c>
      <c r="D439" s="305">
        <v>0</v>
      </c>
      <c r="E439" s="305">
        <v>0</v>
      </c>
      <c r="F439" s="305">
        <v>-785.58</v>
      </c>
      <c r="G439" s="305">
        <v>0</v>
      </c>
      <c r="H439" s="305">
        <v>0</v>
      </c>
      <c r="I439" s="305">
        <v>0</v>
      </c>
      <c r="J439" s="1" t="s">
        <v>738</v>
      </c>
      <c r="K439" s="3" t="s">
        <v>982</v>
      </c>
      <c r="L439" s="365"/>
      <c r="M439" s="2">
        <v>-785.58</v>
      </c>
      <c r="N439" s="311">
        <v>400</v>
      </c>
      <c r="O439" s="310" t="s">
        <v>458</v>
      </c>
      <c r="P439" s="309">
        <v>40</v>
      </c>
      <c r="Q439" s="60" t="s">
        <v>456</v>
      </c>
      <c r="R439" s="309">
        <v>5022</v>
      </c>
      <c r="S439" s="60" t="s">
        <v>202</v>
      </c>
      <c r="T439" s="61">
        <v>180</v>
      </c>
      <c r="U439" s="60" t="s">
        <v>385</v>
      </c>
      <c r="V439" s="1">
        <v>3</v>
      </c>
      <c r="W439" s="1" t="s">
        <v>37</v>
      </c>
      <c r="X439" s="1" t="s">
        <v>1251</v>
      </c>
      <c r="Y439" s="2">
        <v>0</v>
      </c>
      <c r="Z439" s="2">
        <v>0</v>
      </c>
      <c r="AA439" s="2">
        <v>0</v>
      </c>
      <c r="AB439" s="2">
        <v>0</v>
      </c>
      <c r="AC439" s="2">
        <v>0</v>
      </c>
      <c r="AD439" s="2">
        <v>0</v>
      </c>
      <c r="AE439" s="2">
        <v>0</v>
      </c>
      <c r="AF439" s="2">
        <v>0</v>
      </c>
      <c r="AG439" s="2">
        <v>0</v>
      </c>
      <c r="AH439" s="2">
        <v>0</v>
      </c>
      <c r="AI439" s="2">
        <v>0</v>
      </c>
      <c r="AJ439" s="2">
        <v>0</v>
      </c>
      <c r="AK439" s="2">
        <v>0</v>
      </c>
      <c r="AL439" s="2">
        <v>0</v>
      </c>
      <c r="AM439" s="2">
        <v>38160.26</v>
      </c>
      <c r="AN439" s="2">
        <v>-1946.28</v>
      </c>
      <c r="AO439" s="2">
        <v>0</v>
      </c>
      <c r="AP439" s="2">
        <v>0</v>
      </c>
      <c r="AQ439" s="2">
        <v>-36999.56</v>
      </c>
      <c r="AR439" s="2">
        <v>0</v>
      </c>
      <c r="AS439" s="2">
        <v>0</v>
      </c>
      <c r="AT439" s="2">
        <v>0</v>
      </c>
      <c r="AU439" s="2">
        <v>0</v>
      </c>
      <c r="AV439" s="2">
        <v>0</v>
      </c>
      <c r="AW439" s="1">
        <v>435</v>
      </c>
    </row>
    <row r="440" spans="1:49" ht="12.75">
      <c r="A440" s="5">
        <v>4090</v>
      </c>
      <c r="B440" s="2" t="s">
        <v>1379</v>
      </c>
      <c r="C440" s="305">
        <v>0</v>
      </c>
      <c r="D440" s="305">
        <v>0</v>
      </c>
      <c r="E440" s="305">
        <v>0</v>
      </c>
      <c r="F440" s="305">
        <v>-15457.38</v>
      </c>
      <c r="G440" s="305">
        <v>0</v>
      </c>
      <c r="H440" s="305">
        <v>0</v>
      </c>
      <c r="I440" s="305">
        <v>0</v>
      </c>
      <c r="J440" s="1" t="s">
        <v>740</v>
      </c>
      <c r="K440" s="3" t="s">
        <v>982</v>
      </c>
      <c r="L440" s="365"/>
      <c r="M440" s="2">
        <v>-15457.38</v>
      </c>
      <c r="N440" s="311">
        <v>400</v>
      </c>
      <c r="O440" s="310" t="s">
        <v>458</v>
      </c>
      <c r="P440" s="309">
        <v>40</v>
      </c>
      <c r="Q440" s="60" t="s">
        <v>456</v>
      </c>
      <c r="R440" s="309">
        <v>5022</v>
      </c>
      <c r="S440" s="60" t="s">
        <v>202</v>
      </c>
      <c r="T440" s="61">
        <v>180</v>
      </c>
      <c r="U440" s="60" t="s">
        <v>385</v>
      </c>
      <c r="V440" s="1">
        <v>3</v>
      </c>
      <c r="W440" s="1" t="s">
        <v>37</v>
      </c>
      <c r="X440" s="1" t="s">
        <v>1253</v>
      </c>
      <c r="Y440" s="2">
        <v>0</v>
      </c>
      <c r="Z440" s="2">
        <v>0</v>
      </c>
      <c r="AA440" s="2">
        <v>0</v>
      </c>
      <c r="AB440" s="2">
        <v>0</v>
      </c>
      <c r="AC440" s="2">
        <v>0</v>
      </c>
      <c r="AD440" s="2">
        <v>0</v>
      </c>
      <c r="AE440" s="2">
        <v>0</v>
      </c>
      <c r="AF440" s="2">
        <v>0</v>
      </c>
      <c r="AG440" s="2">
        <v>0</v>
      </c>
      <c r="AH440" s="2">
        <v>0</v>
      </c>
      <c r="AI440" s="2">
        <v>0</v>
      </c>
      <c r="AJ440" s="2">
        <v>0</v>
      </c>
      <c r="AK440" s="2">
        <v>0</v>
      </c>
      <c r="AL440" s="2">
        <v>0</v>
      </c>
      <c r="AM440" s="2">
        <v>16461.06</v>
      </c>
      <c r="AN440" s="2">
        <v>-3414.98</v>
      </c>
      <c r="AO440" s="2">
        <v>0</v>
      </c>
      <c r="AP440" s="2">
        <v>0</v>
      </c>
      <c r="AQ440" s="2">
        <v>-28503.46</v>
      </c>
      <c r="AR440" s="2">
        <v>0</v>
      </c>
      <c r="AS440" s="2">
        <v>0</v>
      </c>
      <c r="AT440" s="2">
        <v>0</v>
      </c>
      <c r="AU440" s="2">
        <v>0</v>
      </c>
      <c r="AV440" s="2">
        <v>0</v>
      </c>
      <c r="AW440" s="1">
        <v>436</v>
      </c>
    </row>
    <row r="441" spans="1:49" ht="12.75">
      <c r="A441" s="5">
        <v>4090</v>
      </c>
      <c r="B441" s="2" t="s">
        <v>1380</v>
      </c>
      <c r="C441" s="305">
        <v>0</v>
      </c>
      <c r="D441" s="305">
        <v>0</v>
      </c>
      <c r="E441" s="305">
        <v>0</v>
      </c>
      <c r="F441" s="305">
        <v>10735.94</v>
      </c>
      <c r="G441" s="305">
        <v>0</v>
      </c>
      <c r="H441" s="305">
        <v>0</v>
      </c>
      <c r="I441" s="305">
        <v>0</v>
      </c>
      <c r="J441" s="1" t="s">
        <v>746</v>
      </c>
      <c r="K441" s="3" t="s">
        <v>982</v>
      </c>
      <c r="L441" s="365"/>
      <c r="M441" s="2">
        <v>10735.94</v>
      </c>
      <c r="N441" s="311">
        <v>400</v>
      </c>
      <c r="O441" s="310" t="s">
        <v>458</v>
      </c>
      <c r="P441" s="309">
        <v>40</v>
      </c>
      <c r="Q441" s="60" t="s">
        <v>456</v>
      </c>
      <c r="R441" s="309">
        <v>5024</v>
      </c>
      <c r="S441" s="60" t="s">
        <v>155</v>
      </c>
      <c r="T441" s="61">
        <v>190</v>
      </c>
      <c r="U441" s="60" t="s">
        <v>503</v>
      </c>
      <c r="V441" s="1">
        <v>3</v>
      </c>
      <c r="W441" s="1" t="s">
        <v>37</v>
      </c>
      <c r="X441" s="1" t="s">
        <v>1258</v>
      </c>
      <c r="Y441" s="2">
        <v>0</v>
      </c>
      <c r="Z441" s="2">
        <v>0</v>
      </c>
      <c r="AA441" s="2">
        <v>0</v>
      </c>
      <c r="AB441" s="2">
        <v>0</v>
      </c>
      <c r="AC441" s="2">
        <v>0</v>
      </c>
      <c r="AD441" s="2">
        <v>0</v>
      </c>
      <c r="AE441" s="2">
        <v>0</v>
      </c>
      <c r="AF441" s="2">
        <v>0</v>
      </c>
      <c r="AG441" s="2">
        <v>0</v>
      </c>
      <c r="AH441" s="2">
        <v>0</v>
      </c>
      <c r="AI441" s="2">
        <v>0</v>
      </c>
      <c r="AJ441" s="2">
        <v>0</v>
      </c>
      <c r="AK441" s="2">
        <v>0</v>
      </c>
      <c r="AL441" s="2">
        <v>0</v>
      </c>
      <c r="AM441" s="2">
        <v>10735.94</v>
      </c>
      <c r="AN441" s="2">
        <v>0</v>
      </c>
      <c r="AO441" s="2">
        <v>0</v>
      </c>
      <c r="AP441" s="2">
        <v>0</v>
      </c>
      <c r="AQ441" s="2">
        <v>0</v>
      </c>
      <c r="AR441" s="2">
        <v>0</v>
      </c>
      <c r="AS441" s="2">
        <v>0</v>
      </c>
      <c r="AT441" s="2">
        <v>0</v>
      </c>
      <c r="AU441" s="2">
        <v>0</v>
      </c>
      <c r="AV441" s="2">
        <v>0</v>
      </c>
      <c r="AW441" s="1">
        <v>437</v>
      </c>
    </row>
    <row r="442" spans="1:49" ht="12.75">
      <c r="A442" s="5">
        <v>4090</v>
      </c>
      <c r="B442" s="2" t="s">
        <v>1381</v>
      </c>
      <c r="C442" s="305">
        <v>0</v>
      </c>
      <c r="D442" s="305">
        <v>0</v>
      </c>
      <c r="E442" s="305">
        <v>0</v>
      </c>
      <c r="F442" s="305">
        <v>7689.6</v>
      </c>
      <c r="G442" s="305">
        <v>0</v>
      </c>
      <c r="H442" s="305">
        <v>0</v>
      </c>
      <c r="I442" s="305">
        <v>0</v>
      </c>
      <c r="J442" s="1" t="s">
        <v>750</v>
      </c>
      <c r="K442" s="3" t="s">
        <v>982</v>
      </c>
      <c r="L442" s="365"/>
      <c r="M442" s="2">
        <v>7689.6</v>
      </c>
      <c r="N442" s="311">
        <v>400</v>
      </c>
      <c r="O442" s="310" t="s">
        <v>458</v>
      </c>
      <c r="P442" s="309">
        <v>40</v>
      </c>
      <c r="Q442" s="60" t="s">
        <v>456</v>
      </c>
      <c r="R442" s="309">
        <v>5024</v>
      </c>
      <c r="S442" s="60" t="s">
        <v>155</v>
      </c>
      <c r="T442" s="61">
        <v>190</v>
      </c>
      <c r="U442" s="60" t="s">
        <v>503</v>
      </c>
      <c r="V442" s="1">
        <v>3</v>
      </c>
      <c r="W442" s="1" t="s">
        <v>37</v>
      </c>
      <c r="X442" s="1" t="s">
        <v>1258</v>
      </c>
      <c r="Y442" s="2">
        <v>0</v>
      </c>
      <c r="Z442" s="2">
        <v>0</v>
      </c>
      <c r="AA442" s="2">
        <v>0</v>
      </c>
      <c r="AB442" s="2">
        <v>0</v>
      </c>
      <c r="AC442" s="2">
        <v>0</v>
      </c>
      <c r="AD442" s="2">
        <v>0</v>
      </c>
      <c r="AE442" s="2">
        <v>0</v>
      </c>
      <c r="AF442" s="2">
        <v>0</v>
      </c>
      <c r="AG442" s="2">
        <v>0</v>
      </c>
      <c r="AH442" s="2">
        <v>0</v>
      </c>
      <c r="AI442" s="2">
        <v>0</v>
      </c>
      <c r="AJ442" s="2">
        <v>0</v>
      </c>
      <c r="AK442" s="2">
        <v>0</v>
      </c>
      <c r="AL442" s="2">
        <v>0</v>
      </c>
      <c r="AM442" s="2">
        <v>0</v>
      </c>
      <c r="AN442" s="2">
        <v>0</v>
      </c>
      <c r="AO442" s="2">
        <v>0</v>
      </c>
      <c r="AP442" s="2">
        <v>0</v>
      </c>
      <c r="AQ442" s="2">
        <v>0</v>
      </c>
      <c r="AR442" s="2">
        <v>7689.6</v>
      </c>
      <c r="AS442" s="2">
        <v>0</v>
      </c>
      <c r="AT442" s="2">
        <v>0</v>
      </c>
      <c r="AU442" s="2">
        <v>0</v>
      </c>
      <c r="AV442" s="2">
        <v>0</v>
      </c>
      <c r="AW442" s="1">
        <v>438</v>
      </c>
    </row>
    <row r="443" spans="1:49" ht="12.75">
      <c r="A443" s="5">
        <v>4090</v>
      </c>
      <c r="B443" s="2" t="s">
        <v>1382</v>
      </c>
      <c r="C443" s="305">
        <v>-5095.59</v>
      </c>
      <c r="D443" s="305">
        <v>0</v>
      </c>
      <c r="E443" s="305">
        <v>0</v>
      </c>
      <c r="F443" s="305">
        <v>2702.79</v>
      </c>
      <c r="G443" s="305">
        <v>0</v>
      </c>
      <c r="H443" s="305">
        <v>0</v>
      </c>
      <c r="I443" s="305">
        <v>0</v>
      </c>
      <c r="J443" s="1" t="s">
        <v>758</v>
      </c>
      <c r="K443" s="3" t="s">
        <v>982</v>
      </c>
      <c r="L443" s="365"/>
      <c r="M443" s="2">
        <v>2702.79</v>
      </c>
      <c r="N443" s="311">
        <v>400</v>
      </c>
      <c r="O443" s="310" t="s">
        <v>458</v>
      </c>
      <c r="P443" s="309">
        <v>40</v>
      </c>
      <c r="Q443" s="60" t="s">
        <v>456</v>
      </c>
      <c r="R443" s="309">
        <v>5024</v>
      </c>
      <c r="S443" s="60" t="s">
        <v>155</v>
      </c>
      <c r="T443" s="61">
        <v>200</v>
      </c>
      <c r="U443" s="60" t="s">
        <v>499</v>
      </c>
      <c r="V443" s="1">
        <v>3</v>
      </c>
      <c r="W443" s="1" t="s">
        <v>37</v>
      </c>
      <c r="X443" s="1" t="s">
        <v>1266</v>
      </c>
      <c r="Y443" s="2">
        <v>0</v>
      </c>
      <c r="Z443" s="2">
        <v>0</v>
      </c>
      <c r="AA443" s="2">
        <v>0</v>
      </c>
      <c r="AB443" s="2">
        <v>0</v>
      </c>
      <c r="AC443" s="2">
        <v>0</v>
      </c>
      <c r="AD443" s="2">
        <v>0</v>
      </c>
      <c r="AE443" s="2">
        <v>0</v>
      </c>
      <c r="AF443" s="2">
        <v>0</v>
      </c>
      <c r="AG443" s="2">
        <v>0</v>
      </c>
      <c r="AH443" s="2">
        <v>0</v>
      </c>
      <c r="AI443" s="2">
        <v>0</v>
      </c>
      <c r="AJ443" s="2">
        <v>0</v>
      </c>
      <c r="AK443" s="2">
        <v>0</v>
      </c>
      <c r="AL443" s="2">
        <v>0</v>
      </c>
      <c r="AM443" s="2">
        <v>4701.88</v>
      </c>
      <c r="AN443" s="2">
        <v>0</v>
      </c>
      <c r="AO443" s="2">
        <v>0</v>
      </c>
      <c r="AP443" s="2">
        <v>0</v>
      </c>
      <c r="AQ443" s="2">
        <v>3096.5</v>
      </c>
      <c r="AR443" s="2">
        <v>0</v>
      </c>
      <c r="AS443" s="2">
        <v>0</v>
      </c>
      <c r="AT443" s="2">
        <v>0</v>
      </c>
      <c r="AU443" s="2">
        <v>0</v>
      </c>
      <c r="AV443" s="2">
        <v>-5095.59</v>
      </c>
      <c r="AW443" s="1">
        <v>439</v>
      </c>
    </row>
    <row r="444" spans="1:49" ht="12.75">
      <c r="A444" s="5">
        <v>4090</v>
      </c>
      <c r="B444" s="2" t="s">
        <v>1383</v>
      </c>
      <c r="C444" s="305">
        <v>0</v>
      </c>
      <c r="D444" s="305">
        <v>0</v>
      </c>
      <c r="E444" s="305">
        <v>0</v>
      </c>
      <c r="F444" s="305">
        <v>171775.8</v>
      </c>
      <c r="G444" s="305">
        <v>0</v>
      </c>
      <c r="H444" s="305">
        <v>0</v>
      </c>
      <c r="I444" s="305">
        <v>0</v>
      </c>
      <c r="J444" s="1" t="s">
        <v>762</v>
      </c>
      <c r="K444" s="3" t="s">
        <v>982</v>
      </c>
      <c r="L444" s="365"/>
      <c r="M444" s="2">
        <v>171775.8</v>
      </c>
      <c r="N444" s="311">
        <v>400</v>
      </c>
      <c r="O444" s="310" t="s">
        <v>458</v>
      </c>
      <c r="P444" s="309">
        <v>40</v>
      </c>
      <c r="Q444" s="60" t="s">
        <v>456</v>
      </c>
      <c r="R444" s="309">
        <v>5024</v>
      </c>
      <c r="S444" s="60" t="s">
        <v>155</v>
      </c>
      <c r="T444" s="61">
        <v>200</v>
      </c>
      <c r="U444" s="60" t="s">
        <v>499</v>
      </c>
      <c r="V444" s="1">
        <v>3</v>
      </c>
      <c r="W444" s="1" t="s">
        <v>37</v>
      </c>
      <c r="X444" s="1" t="s">
        <v>1268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2">
        <v>0</v>
      </c>
      <c r="AK444" s="2">
        <v>0</v>
      </c>
      <c r="AL444" s="2">
        <v>0</v>
      </c>
      <c r="AM444" s="2">
        <v>116040</v>
      </c>
      <c r="AN444" s="2">
        <v>0</v>
      </c>
      <c r="AO444" s="2">
        <v>19700</v>
      </c>
      <c r="AP444" s="2">
        <v>36035.8</v>
      </c>
      <c r="AQ444" s="2">
        <v>0</v>
      </c>
      <c r="AR444" s="2">
        <v>0</v>
      </c>
      <c r="AS444" s="2">
        <v>0</v>
      </c>
      <c r="AT444" s="2">
        <v>0</v>
      </c>
      <c r="AU444" s="2">
        <v>0</v>
      </c>
      <c r="AV444" s="2">
        <v>0</v>
      </c>
      <c r="AW444" s="1">
        <v>440</v>
      </c>
    </row>
    <row r="445" spans="1:49" ht="12.75">
      <c r="A445" s="5">
        <v>4090</v>
      </c>
      <c r="B445" s="2" t="s">
        <v>1384</v>
      </c>
      <c r="C445" s="305">
        <v>0</v>
      </c>
      <c r="D445" s="305">
        <v>0</v>
      </c>
      <c r="E445" s="305">
        <v>0</v>
      </c>
      <c r="F445" s="305">
        <v>128839.47</v>
      </c>
      <c r="G445" s="305">
        <v>0</v>
      </c>
      <c r="H445" s="305">
        <v>0</v>
      </c>
      <c r="I445" s="305">
        <v>0</v>
      </c>
      <c r="J445" s="1" t="s">
        <v>774</v>
      </c>
      <c r="K445" s="3" t="s">
        <v>982</v>
      </c>
      <c r="L445" s="365"/>
      <c r="M445" s="2">
        <v>128839.47</v>
      </c>
      <c r="N445" s="311">
        <v>400</v>
      </c>
      <c r="O445" s="310" t="s">
        <v>458</v>
      </c>
      <c r="P445" s="309">
        <v>40</v>
      </c>
      <c r="Q445" s="60" t="s">
        <v>456</v>
      </c>
      <c r="R445" s="309">
        <v>5011</v>
      </c>
      <c r="S445" s="60" t="s">
        <v>209</v>
      </c>
      <c r="T445" s="61">
        <v>210</v>
      </c>
      <c r="U445" s="60" t="s">
        <v>500</v>
      </c>
      <c r="V445" s="1">
        <v>3</v>
      </c>
      <c r="W445" s="1" t="s">
        <v>37</v>
      </c>
      <c r="X445" s="1" t="s">
        <v>1199</v>
      </c>
      <c r="Y445" s="2">
        <v>0</v>
      </c>
      <c r="Z445" s="2">
        <v>0</v>
      </c>
      <c r="AA445" s="2">
        <v>0</v>
      </c>
      <c r="AB445" s="2">
        <v>0</v>
      </c>
      <c r="AC445" s="2">
        <v>0</v>
      </c>
      <c r="AD445" s="2">
        <v>0</v>
      </c>
      <c r="AE445" s="2">
        <v>0</v>
      </c>
      <c r="AF445" s="2">
        <v>0</v>
      </c>
      <c r="AG445" s="2">
        <v>0</v>
      </c>
      <c r="AH445" s="2">
        <v>0</v>
      </c>
      <c r="AI445" s="2">
        <v>0</v>
      </c>
      <c r="AJ445" s="2">
        <v>0</v>
      </c>
      <c r="AK445" s="2">
        <v>0</v>
      </c>
      <c r="AL445" s="2">
        <v>0</v>
      </c>
      <c r="AM445" s="2">
        <v>461.04</v>
      </c>
      <c r="AN445" s="2">
        <v>0</v>
      </c>
      <c r="AO445" s="2">
        <v>0</v>
      </c>
      <c r="AP445" s="2">
        <v>763.12</v>
      </c>
      <c r="AQ445" s="2">
        <v>1033.44</v>
      </c>
      <c r="AR445" s="2">
        <v>126581.87</v>
      </c>
      <c r="AS445" s="2">
        <v>0</v>
      </c>
      <c r="AT445" s="2">
        <v>0</v>
      </c>
      <c r="AU445" s="2">
        <v>0</v>
      </c>
      <c r="AV445" s="2">
        <v>0</v>
      </c>
      <c r="AW445" s="1">
        <v>441</v>
      </c>
    </row>
    <row r="446" spans="1:49" ht="12.75">
      <c r="A446" s="5">
        <v>4090</v>
      </c>
      <c r="B446" s="2" t="s">
        <v>1385</v>
      </c>
      <c r="C446" s="305">
        <v>0</v>
      </c>
      <c r="D446" s="305">
        <v>0</v>
      </c>
      <c r="E446" s="305">
        <v>0</v>
      </c>
      <c r="F446" s="305">
        <v>-126442.09</v>
      </c>
      <c r="G446" s="305">
        <v>0</v>
      </c>
      <c r="H446" s="305">
        <v>0</v>
      </c>
      <c r="I446" s="305">
        <v>0</v>
      </c>
      <c r="J446" s="1" t="s">
        <v>776</v>
      </c>
      <c r="K446" s="3" t="s">
        <v>982</v>
      </c>
      <c r="L446" s="365"/>
      <c r="M446" s="2">
        <v>-126442.09</v>
      </c>
      <c r="N446" s="311">
        <v>400</v>
      </c>
      <c r="O446" s="310" t="s">
        <v>458</v>
      </c>
      <c r="P446" s="309">
        <v>40</v>
      </c>
      <c r="Q446" s="60" t="s">
        <v>456</v>
      </c>
      <c r="R446" s="309">
        <v>5011</v>
      </c>
      <c r="S446" s="60" t="s">
        <v>209</v>
      </c>
      <c r="T446" s="61">
        <v>210</v>
      </c>
      <c r="U446" s="60" t="s">
        <v>500</v>
      </c>
      <c r="V446" s="1">
        <v>3</v>
      </c>
      <c r="W446" s="1" t="s">
        <v>37</v>
      </c>
      <c r="X446" s="1" t="s">
        <v>1199</v>
      </c>
      <c r="Y446" s="2">
        <v>0</v>
      </c>
      <c r="Z446" s="2">
        <v>0</v>
      </c>
      <c r="AA446" s="2">
        <v>0</v>
      </c>
      <c r="AB446" s="2">
        <v>0</v>
      </c>
      <c r="AC446" s="2">
        <v>0</v>
      </c>
      <c r="AD446" s="2">
        <v>0</v>
      </c>
      <c r="AE446" s="2">
        <v>0</v>
      </c>
      <c r="AF446" s="2">
        <v>0</v>
      </c>
      <c r="AG446" s="2">
        <v>0</v>
      </c>
      <c r="AH446" s="2">
        <v>0</v>
      </c>
      <c r="AI446" s="2">
        <v>0</v>
      </c>
      <c r="AJ446" s="2">
        <v>0</v>
      </c>
      <c r="AK446" s="2">
        <v>0</v>
      </c>
      <c r="AL446" s="2">
        <v>0</v>
      </c>
      <c r="AM446" s="2">
        <v>0</v>
      </c>
      <c r="AN446" s="2">
        <v>0</v>
      </c>
      <c r="AO446" s="2">
        <v>0</v>
      </c>
      <c r="AP446" s="2">
        <v>0</v>
      </c>
      <c r="AQ446" s="2">
        <v>0</v>
      </c>
      <c r="AR446" s="2">
        <v>-126442.09</v>
      </c>
      <c r="AS446" s="2">
        <v>0</v>
      </c>
      <c r="AT446" s="2">
        <v>0</v>
      </c>
      <c r="AU446" s="2">
        <v>0</v>
      </c>
      <c r="AV446" s="2">
        <v>0</v>
      </c>
      <c r="AW446" s="1">
        <v>442</v>
      </c>
    </row>
    <row r="447" spans="1:49" ht="12.75">
      <c r="A447" s="5">
        <v>4090</v>
      </c>
      <c r="B447" s="2" t="s">
        <v>1386</v>
      </c>
      <c r="C447" s="305">
        <v>0</v>
      </c>
      <c r="D447" s="305">
        <v>0</v>
      </c>
      <c r="E447" s="305">
        <v>0</v>
      </c>
      <c r="F447" s="305">
        <v>-42936.4</v>
      </c>
      <c r="G447" s="305">
        <v>0</v>
      </c>
      <c r="H447" s="305">
        <v>0</v>
      </c>
      <c r="I447" s="305">
        <v>0</v>
      </c>
      <c r="J447" s="1" t="s">
        <v>778</v>
      </c>
      <c r="K447" s="3" t="s">
        <v>982</v>
      </c>
      <c r="L447" s="365"/>
      <c r="M447" s="2">
        <v>-42936.4</v>
      </c>
      <c r="N447" s="311">
        <v>400</v>
      </c>
      <c r="O447" s="310" t="s">
        <v>458</v>
      </c>
      <c r="P447" s="309">
        <v>40</v>
      </c>
      <c r="Q447" s="60" t="s">
        <v>456</v>
      </c>
      <c r="R447" s="309">
        <v>5012</v>
      </c>
      <c r="S447" s="60" t="s">
        <v>212</v>
      </c>
      <c r="T447" s="61">
        <v>211</v>
      </c>
      <c r="U447" s="60" t="s">
        <v>506</v>
      </c>
      <c r="V447" s="1">
        <v>3</v>
      </c>
      <c r="W447" s="1" t="s">
        <v>37</v>
      </c>
      <c r="X447" s="1" t="s">
        <v>1197</v>
      </c>
      <c r="Y447" s="2">
        <v>0</v>
      </c>
      <c r="Z447" s="2">
        <v>0</v>
      </c>
      <c r="AA447" s="2">
        <v>0</v>
      </c>
      <c r="AB447" s="2">
        <v>0</v>
      </c>
      <c r="AC447" s="2">
        <v>0</v>
      </c>
      <c r="AD447" s="2">
        <v>0</v>
      </c>
      <c r="AE447" s="2">
        <v>0</v>
      </c>
      <c r="AF447" s="2">
        <v>0</v>
      </c>
      <c r="AG447" s="2">
        <v>0</v>
      </c>
      <c r="AH447" s="2">
        <v>0</v>
      </c>
      <c r="AI447" s="2">
        <v>0</v>
      </c>
      <c r="AJ447" s="2">
        <v>0</v>
      </c>
      <c r="AK447" s="2">
        <v>0</v>
      </c>
      <c r="AL447" s="2">
        <v>0</v>
      </c>
      <c r="AM447" s="2">
        <v>-9557.08</v>
      </c>
      <c r="AN447" s="2">
        <v>0</v>
      </c>
      <c r="AO447" s="2">
        <v>0</v>
      </c>
      <c r="AP447" s="2">
        <v>0</v>
      </c>
      <c r="AQ447" s="2">
        <v>0</v>
      </c>
      <c r="AR447" s="2">
        <v>-33379.32</v>
      </c>
      <c r="AS447" s="2">
        <v>0</v>
      </c>
      <c r="AT447" s="2">
        <v>0</v>
      </c>
      <c r="AU447" s="2">
        <v>0</v>
      </c>
      <c r="AV447" s="2">
        <v>0</v>
      </c>
      <c r="AW447" s="1">
        <v>443</v>
      </c>
    </row>
    <row r="448" spans="1:49" ht="12.75">
      <c r="A448" s="5">
        <v>4520</v>
      </c>
      <c r="B448" s="2" t="s">
        <v>301</v>
      </c>
      <c r="C448" s="305">
        <v>0</v>
      </c>
      <c r="D448" s="305">
        <v>0</v>
      </c>
      <c r="E448" s="305">
        <v>0</v>
      </c>
      <c r="F448" s="305">
        <v>0</v>
      </c>
      <c r="G448" s="305">
        <v>0</v>
      </c>
      <c r="H448" s="305">
        <v>42263.53</v>
      </c>
      <c r="I448" s="305">
        <v>0</v>
      </c>
      <c r="J448" s="1" t="s">
        <v>676</v>
      </c>
      <c r="K448" s="3" t="s">
        <v>982</v>
      </c>
      <c r="L448" s="365"/>
      <c r="M448" s="2">
        <v>0</v>
      </c>
      <c r="N448" s="311">
        <v>400</v>
      </c>
      <c r="O448" s="310" t="s">
        <v>458</v>
      </c>
      <c r="P448" s="309">
        <v>40</v>
      </c>
      <c r="Q448" s="60" t="s">
        <v>456</v>
      </c>
      <c r="R448" s="309">
        <v>5021</v>
      </c>
      <c r="S448" s="60" t="s">
        <v>201</v>
      </c>
      <c r="T448" s="61">
        <v>120</v>
      </c>
      <c r="U448" s="60" t="s">
        <v>382</v>
      </c>
      <c r="V448" s="1">
        <v>3</v>
      </c>
      <c r="W448" s="1" t="s">
        <v>37</v>
      </c>
      <c r="X448" s="1" t="s">
        <v>1202</v>
      </c>
      <c r="Y448" s="2">
        <v>3225.65</v>
      </c>
      <c r="Z448" s="2">
        <v>3433.15</v>
      </c>
      <c r="AA448" s="2">
        <v>9119.33</v>
      </c>
      <c r="AB448" s="2">
        <v>2798.83</v>
      </c>
      <c r="AC448" s="2">
        <v>4916.23</v>
      </c>
      <c r="AD448" s="2">
        <v>3342.07</v>
      </c>
      <c r="AE448" s="2">
        <v>4168.04</v>
      </c>
      <c r="AF448" s="2">
        <v>3398.1</v>
      </c>
      <c r="AG448" s="2">
        <v>5301.2</v>
      </c>
      <c r="AH448" s="2">
        <v>2560.93</v>
      </c>
      <c r="AI448" s="2">
        <v>0</v>
      </c>
      <c r="AJ448" s="2">
        <v>0</v>
      </c>
      <c r="AK448" s="2">
        <v>0</v>
      </c>
      <c r="AL448" s="2">
        <v>0</v>
      </c>
      <c r="AM448" s="2">
        <v>0</v>
      </c>
      <c r="AN448" s="2">
        <v>0</v>
      </c>
      <c r="AO448" s="2">
        <v>0</v>
      </c>
      <c r="AP448" s="2">
        <v>0</v>
      </c>
      <c r="AQ448" s="2">
        <v>0</v>
      </c>
      <c r="AR448" s="2">
        <v>0</v>
      </c>
      <c r="AS448" s="2">
        <v>0</v>
      </c>
      <c r="AT448" s="2">
        <v>0</v>
      </c>
      <c r="AU448" s="2">
        <v>0</v>
      </c>
      <c r="AV448" s="2">
        <v>0</v>
      </c>
      <c r="AW448" s="1">
        <v>444</v>
      </c>
    </row>
    <row r="449" spans="1:49" ht="12.75">
      <c r="A449" s="5">
        <v>4520</v>
      </c>
      <c r="B449" s="2" t="s">
        <v>879</v>
      </c>
      <c r="C449" s="305">
        <v>820.98</v>
      </c>
      <c r="D449" s="305">
        <v>0</v>
      </c>
      <c r="E449" s="305">
        <v>196.92</v>
      </c>
      <c r="F449" s="305">
        <v>7571.09</v>
      </c>
      <c r="G449" s="305">
        <v>0</v>
      </c>
      <c r="H449" s="305">
        <v>487.41</v>
      </c>
      <c r="I449" s="305">
        <v>0</v>
      </c>
      <c r="J449" s="1" t="s">
        <v>678</v>
      </c>
      <c r="K449" s="3" t="s">
        <v>982</v>
      </c>
      <c r="L449" s="365"/>
      <c r="M449" s="2">
        <v>7571.09</v>
      </c>
      <c r="N449" s="311">
        <v>400</v>
      </c>
      <c r="O449" s="310" t="s">
        <v>458</v>
      </c>
      <c r="P449" s="309">
        <v>40</v>
      </c>
      <c r="Q449" s="60" t="s">
        <v>456</v>
      </c>
      <c r="R449" s="309">
        <v>5019</v>
      </c>
      <c r="S449" s="60" t="s">
        <v>679</v>
      </c>
      <c r="T449" s="61">
        <v>120</v>
      </c>
      <c r="U449" s="60" t="s">
        <v>382</v>
      </c>
      <c r="V449" s="1">
        <v>3</v>
      </c>
      <c r="W449" s="1" t="s">
        <v>37</v>
      </c>
      <c r="X449" s="1" t="s">
        <v>1204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0</v>
      </c>
      <c r="AE449" s="2">
        <v>0</v>
      </c>
      <c r="AF449" s="2">
        <v>0</v>
      </c>
      <c r="AG449" s="2">
        <v>0</v>
      </c>
      <c r="AH449" s="2">
        <v>0</v>
      </c>
      <c r="AI449" s="2">
        <v>290.49</v>
      </c>
      <c r="AJ449" s="2">
        <v>196.92</v>
      </c>
      <c r="AK449" s="2">
        <v>290.49</v>
      </c>
      <c r="AL449" s="2">
        <v>536.6</v>
      </c>
      <c r="AM449" s="2">
        <v>536.6</v>
      </c>
      <c r="AN449" s="2">
        <v>320.21</v>
      </c>
      <c r="AO449" s="2">
        <v>432.76</v>
      </c>
      <c r="AP449" s="2">
        <v>1376.01</v>
      </c>
      <c r="AQ449" s="2">
        <v>501.74</v>
      </c>
      <c r="AR449" s="2">
        <v>735.72</v>
      </c>
      <c r="AS449" s="2">
        <v>1212.36</v>
      </c>
      <c r="AT449" s="2">
        <v>231.64</v>
      </c>
      <c r="AU449" s="2">
        <v>575.98</v>
      </c>
      <c r="AV449" s="2">
        <v>820.98</v>
      </c>
      <c r="AW449" s="1">
        <v>445</v>
      </c>
    </row>
    <row r="450" spans="1:49" ht="12.75">
      <c r="A450" s="5">
        <v>4520</v>
      </c>
      <c r="B450" s="2" t="s">
        <v>880</v>
      </c>
      <c r="C450" s="305">
        <v>187.47</v>
      </c>
      <c r="D450" s="305">
        <v>0</v>
      </c>
      <c r="E450" s="305">
        <v>0</v>
      </c>
      <c r="F450" s="305">
        <v>980.99</v>
      </c>
      <c r="G450" s="305">
        <v>0</v>
      </c>
      <c r="H450" s="305">
        <v>507.73</v>
      </c>
      <c r="I450" s="305">
        <v>0</v>
      </c>
      <c r="J450" s="1" t="s">
        <v>681</v>
      </c>
      <c r="K450" s="3" t="s">
        <v>982</v>
      </c>
      <c r="L450" s="365"/>
      <c r="M450" s="2">
        <v>980.99</v>
      </c>
      <c r="N450" s="311">
        <v>400</v>
      </c>
      <c r="O450" s="310" t="s">
        <v>458</v>
      </c>
      <c r="P450" s="309">
        <v>40</v>
      </c>
      <c r="Q450" s="60" t="s">
        <v>456</v>
      </c>
      <c r="R450" s="309">
        <v>5019</v>
      </c>
      <c r="S450" s="60" t="s">
        <v>679</v>
      </c>
      <c r="T450" s="61">
        <v>120</v>
      </c>
      <c r="U450" s="60" t="s">
        <v>382</v>
      </c>
      <c r="V450" s="1">
        <v>3</v>
      </c>
      <c r="W450" s="1" t="s">
        <v>37</v>
      </c>
      <c r="X450" s="1" t="s">
        <v>1204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0</v>
      </c>
      <c r="AI450" s="2">
        <v>507.73</v>
      </c>
      <c r="AJ450" s="2">
        <v>0</v>
      </c>
      <c r="AK450" s="2">
        <v>0</v>
      </c>
      <c r="AL450" s="2">
        <v>0</v>
      </c>
      <c r="AM450" s="2">
        <v>0</v>
      </c>
      <c r="AN450" s="2">
        <v>0</v>
      </c>
      <c r="AO450" s="2">
        <v>0</v>
      </c>
      <c r="AP450" s="2">
        <v>91.28</v>
      </c>
      <c r="AQ450" s="2">
        <v>235.11</v>
      </c>
      <c r="AR450" s="2">
        <v>187.47</v>
      </c>
      <c r="AS450" s="2">
        <v>92.19</v>
      </c>
      <c r="AT450" s="2">
        <v>187.47</v>
      </c>
      <c r="AU450" s="2">
        <v>0</v>
      </c>
      <c r="AV450" s="2">
        <v>187.47</v>
      </c>
      <c r="AW450" s="1">
        <v>446</v>
      </c>
    </row>
    <row r="451" spans="1:49" ht="12.75">
      <c r="A451" s="5">
        <v>4520</v>
      </c>
      <c r="B451" s="2" t="s">
        <v>881</v>
      </c>
      <c r="C451" s="305">
        <v>1749.31</v>
      </c>
      <c r="D451" s="305">
        <v>0</v>
      </c>
      <c r="E451" s="305">
        <v>1464.43</v>
      </c>
      <c r="F451" s="305">
        <v>16589.88</v>
      </c>
      <c r="G451" s="305">
        <v>0</v>
      </c>
      <c r="H451" s="305">
        <v>2217.47</v>
      </c>
      <c r="I451" s="305">
        <v>0</v>
      </c>
      <c r="J451" s="1" t="s">
        <v>683</v>
      </c>
      <c r="K451" s="3" t="s">
        <v>982</v>
      </c>
      <c r="L451" s="365"/>
      <c r="M451" s="2">
        <v>16589.88</v>
      </c>
      <c r="N451" s="311">
        <v>400</v>
      </c>
      <c r="O451" s="310" t="s">
        <v>458</v>
      </c>
      <c r="P451" s="309">
        <v>40</v>
      </c>
      <c r="Q451" s="60" t="s">
        <v>456</v>
      </c>
      <c r="R451" s="309">
        <v>5019</v>
      </c>
      <c r="S451" s="60" t="s">
        <v>679</v>
      </c>
      <c r="T451" s="61">
        <v>120</v>
      </c>
      <c r="U451" s="60" t="s">
        <v>382</v>
      </c>
      <c r="V451" s="1">
        <v>3</v>
      </c>
      <c r="W451" s="1" t="s">
        <v>37</v>
      </c>
      <c r="X451" s="1" t="s">
        <v>1204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0</v>
      </c>
      <c r="AE451" s="2">
        <v>0</v>
      </c>
      <c r="AF451" s="2">
        <v>0</v>
      </c>
      <c r="AG451" s="2">
        <v>0</v>
      </c>
      <c r="AH451" s="2">
        <v>0</v>
      </c>
      <c r="AI451" s="2">
        <v>753.04</v>
      </c>
      <c r="AJ451" s="2">
        <v>1464.43</v>
      </c>
      <c r="AK451" s="2">
        <v>1680.8</v>
      </c>
      <c r="AL451" s="2">
        <v>764</v>
      </c>
      <c r="AM451" s="2">
        <v>672.43</v>
      </c>
      <c r="AN451" s="2">
        <v>1192.6</v>
      </c>
      <c r="AO451" s="2">
        <v>2147.64</v>
      </c>
      <c r="AP451" s="2">
        <v>1188.42</v>
      </c>
      <c r="AQ451" s="2">
        <v>1939.16</v>
      </c>
      <c r="AR451" s="2">
        <v>1429.86</v>
      </c>
      <c r="AS451" s="2">
        <v>848.52</v>
      </c>
      <c r="AT451" s="2">
        <v>1426.82</v>
      </c>
      <c r="AU451" s="2">
        <v>1550.32</v>
      </c>
      <c r="AV451" s="2">
        <v>1749.31</v>
      </c>
      <c r="AW451" s="1">
        <v>447</v>
      </c>
    </row>
    <row r="452" spans="1:49" ht="12.75">
      <c r="A452" s="5">
        <v>4520</v>
      </c>
      <c r="B452" s="2" t="s">
        <v>882</v>
      </c>
      <c r="C452" s="305">
        <v>0</v>
      </c>
      <c r="D452" s="305">
        <v>0</v>
      </c>
      <c r="E452" s="305">
        <v>0</v>
      </c>
      <c r="F452" s="305">
        <v>617.81</v>
      </c>
      <c r="G452" s="305">
        <v>0</v>
      </c>
      <c r="H452" s="305">
        <v>0</v>
      </c>
      <c r="I452" s="305">
        <v>0</v>
      </c>
      <c r="J452" s="1" t="s">
        <v>687</v>
      </c>
      <c r="K452" s="3" t="s">
        <v>982</v>
      </c>
      <c r="L452" s="365"/>
      <c r="M452" s="2">
        <v>617.81</v>
      </c>
      <c r="N452" s="311">
        <v>400</v>
      </c>
      <c r="O452" s="310" t="s">
        <v>458</v>
      </c>
      <c r="P452" s="309">
        <v>40</v>
      </c>
      <c r="Q452" s="60" t="s">
        <v>456</v>
      </c>
      <c r="R452" s="309">
        <v>5019</v>
      </c>
      <c r="S452" s="60" t="s">
        <v>679</v>
      </c>
      <c r="T452" s="61">
        <v>120</v>
      </c>
      <c r="U452" s="60" t="s">
        <v>382</v>
      </c>
      <c r="V452" s="1">
        <v>3</v>
      </c>
      <c r="W452" s="1" t="s">
        <v>37</v>
      </c>
      <c r="X452" s="1" t="s">
        <v>1204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2">
        <v>0</v>
      </c>
      <c r="AK452" s="2">
        <v>0</v>
      </c>
      <c r="AL452" s="2">
        <v>0</v>
      </c>
      <c r="AM452" s="2">
        <v>340.72</v>
      </c>
      <c r="AN452" s="2">
        <v>277.09</v>
      </c>
      <c r="AO452" s="2">
        <v>0</v>
      </c>
      <c r="AP452" s="2">
        <v>0</v>
      </c>
      <c r="AQ452" s="2">
        <v>0</v>
      </c>
      <c r="AR452" s="2">
        <v>0</v>
      </c>
      <c r="AS452" s="2">
        <v>0</v>
      </c>
      <c r="AT452" s="2">
        <v>0</v>
      </c>
      <c r="AU452" s="2">
        <v>0</v>
      </c>
      <c r="AV452" s="2">
        <v>0</v>
      </c>
      <c r="AW452" s="1">
        <v>448</v>
      </c>
    </row>
    <row r="453" spans="1:49" ht="12.75">
      <c r="A453" s="5">
        <v>4520</v>
      </c>
      <c r="B453" s="2" t="s">
        <v>883</v>
      </c>
      <c r="C453" s="305">
        <v>0</v>
      </c>
      <c r="D453" s="305">
        <v>0</v>
      </c>
      <c r="E453" s="305">
        <v>570.92</v>
      </c>
      <c r="F453" s="305">
        <v>9153.36</v>
      </c>
      <c r="G453" s="305">
        <v>0</v>
      </c>
      <c r="H453" s="305">
        <v>719.77</v>
      </c>
      <c r="I453" s="305">
        <v>0</v>
      </c>
      <c r="J453" s="1" t="s">
        <v>689</v>
      </c>
      <c r="K453" s="3" t="s">
        <v>982</v>
      </c>
      <c r="L453" s="365"/>
      <c r="M453" s="2">
        <v>9153.36</v>
      </c>
      <c r="N453" s="311">
        <v>400</v>
      </c>
      <c r="O453" s="310" t="s">
        <v>458</v>
      </c>
      <c r="P453" s="309">
        <v>40</v>
      </c>
      <c r="Q453" s="60" t="s">
        <v>456</v>
      </c>
      <c r="R453" s="309">
        <v>5019</v>
      </c>
      <c r="S453" s="60" t="s">
        <v>679</v>
      </c>
      <c r="T453" s="61">
        <v>120</v>
      </c>
      <c r="U453" s="60" t="s">
        <v>382</v>
      </c>
      <c r="V453" s="1">
        <v>3</v>
      </c>
      <c r="W453" s="1" t="s">
        <v>37</v>
      </c>
      <c r="X453" s="1" t="s">
        <v>1204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0</v>
      </c>
      <c r="AI453" s="2">
        <v>148.85</v>
      </c>
      <c r="AJ453" s="2">
        <v>570.92</v>
      </c>
      <c r="AK453" s="2">
        <v>0</v>
      </c>
      <c r="AL453" s="2">
        <v>297.7</v>
      </c>
      <c r="AM453" s="2">
        <v>942.21</v>
      </c>
      <c r="AN453" s="2">
        <v>993.8</v>
      </c>
      <c r="AO453" s="2">
        <v>1540.44</v>
      </c>
      <c r="AP453" s="2">
        <v>963.91</v>
      </c>
      <c r="AQ453" s="2">
        <v>392.7</v>
      </c>
      <c r="AR453" s="2">
        <v>941.96</v>
      </c>
      <c r="AS453" s="2">
        <v>1482.54</v>
      </c>
      <c r="AT453" s="2">
        <v>1090.1</v>
      </c>
      <c r="AU453" s="2">
        <v>508</v>
      </c>
      <c r="AV453" s="2">
        <v>0</v>
      </c>
      <c r="AW453" s="1">
        <v>449</v>
      </c>
    </row>
    <row r="454" spans="1:49" ht="12.75">
      <c r="A454" s="5">
        <v>4520</v>
      </c>
      <c r="B454" s="2" t="s">
        <v>884</v>
      </c>
      <c r="C454" s="305">
        <v>0</v>
      </c>
      <c r="D454" s="305">
        <v>0</v>
      </c>
      <c r="E454" s="305">
        <v>0</v>
      </c>
      <c r="F454" s="305">
        <v>4395.56</v>
      </c>
      <c r="G454" s="305">
        <v>0</v>
      </c>
      <c r="H454" s="305">
        <v>0</v>
      </c>
      <c r="I454" s="305">
        <v>0</v>
      </c>
      <c r="J454" s="1" t="s">
        <v>885</v>
      </c>
      <c r="K454" s="3" t="s">
        <v>982</v>
      </c>
      <c r="L454" s="365"/>
      <c r="M454" s="2">
        <v>4395.56</v>
      </c>
      <c r="N454" s="311">
        <v>400</v>
      </c>
      <c r="O454" s="310" t="s">
        <v>458</v>
      </c>
      <c r="P454" s="309">
        <v>40</v>
      </c>
      <c r="Q454" s="60" t="s">
        <v>456</v>
      </c>
      <c r="R454" s="309">
        <v>5019</v>
      </c>
      <c r="S454" s="60" t="s">
        <v>679</v>
      </c>
      <c r="T454" s="61">
        <v>120</v>
      </c>
      <c r="U454" s="60" t="s">
        <v>382</v>
      </c>
      <c r="V454" s="1">
        <v>3</v>
      </c>
      <c r="W454" s="1" t="s">
        <v>37</v>
      </c>
      <c r="X454" s="1" t="s">
        <v>1204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0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2">
        <v>0</v>
      </c>
      <c r="AK454" s="2">
        <v>0</v>
      </c>
      <c r="AL454" s="2">
        <v>0</v>
      </c>
      <c r="AM454" s="2">
        <v>0</v>
      </c>
      <c r="AN454" s="2">
        <v>0</v>
      </c>
      <c r="AO454" s="2">
        <v>256.4</v>
      </c>
      <c r="AP454" s="2">
        <v>1322</v>
      </c>
      <c r="AQ454" s="2">
        <v>1293.25</v>
      </c>
      <c r="AR454" s="2">
        <v>0</v>
      </c>
      <c r="AS454" s="2">
        <v>1267.51</v>
      </c>
      <c r="AT454" s="2">
        <v>0</v>
      </c>
      <c r="AU454" s="2">
        <v>256.4</v>
      </c>
      <c r="AV454" s="2">
        <v>0</v>
      </c>
      <c r="AW454" s="1">
        <v>450</v>
      </c>
    </row>
    <row r="455" spans="1:49" ht="12.75">
      <c r="A455" s="5">
        <v>4520</v>
      </c>
      <c r="B455" s="2" t="s">
        <v>886</v>
      </c>
      <c r="C455" s="305">
        <v>0</v>
      </c>
      <c r="D455" s="305">
        <v>0</v>
      </c>
      <c r="E455" s="305">
        <v>724.44</v>
      </c>
      <c r="F455" s="305">
        <v>1454.86</v>
      </c>
      <c r="G455" s="305">
        <v>0</v>
      </c>
      <c r="H455" s="305">
        <v>724.44</v>
      </c>
      <c r="I455" s="305">
        <v>0</v>
      </c>
      <c r="J455" s="1" t="s">
        <v>691</v>
      </c>
      <c r="K455" s="3" t="s">
        <v>982</v>
      </c>
      <c r="L455" s="365"/>
      <c r="M455" s="2">
        <v>1454.86</v>
      </c>
      <c r="N455" s="311">
        <v>400</v>
      </c>
      <c r="O455" s="310" t="s">
        <v>458</v>
      </c>
      <c r="P455" s="309">
        <v>40</v>
      </c>
      <c r="Q455" s="60" t="s">
        <v>456</v>
      </c>
      <c r="R455" s="309">
        <v>5019</v>
      </c>
      <c r="S455" s="60" t="s">
        <v>679</v>
      </c>
      <c r="T455" s="61">
        <v>120</v>
      </c>
      <c r="U455" s="60" t="s">
        <v>382</v>
      </c>
      <c r="V455" s="1">
        <v>3</v>
      </c>
      <c r="W455" s="1" t="s">
        <v>37</v>
      </c>
      <c r="X455" s="1" t="s">
        <v>1204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AJ455" s="2">
        <v>724.44</v>
      </c>
      <c r="AK455" s="2">
        <v>0</v>
      </c>
      <c r="AL455" s="2">
        <v>0</v>
      </c>
      <c r="AM455" s="2">
        <v>881.38</v>
      </c>
      <c r="AN455" s="2">
        <v>573.48</v>
      </c>
      <c r="AO455" s="2">
        <v>0</v>
      </c>
      <c r="AP455" s="2">
        <v>0</v>
      </c>
      <c r="AQ455" s="2">
        <v>0</v>
      </c>
      <c r="AR455" s="2">
        <v>0</v>
      </c>
      <c r="AS455" s="2">
        <v>0</v>
      </c>
      <c r="AT455" s="2">
        <v>0</v>
      </c>
      <c r="AU455" s="2">
        <v>0</v>
      </c>
      <c r="AV455" s="2">
        <v>0</v>
      </c>
      <c r="AW455" s="1">
        <v>451</v>
      </c>
    </row>
    <row r="456" spans="1:49" ht="12.75">
      <c r="A456" s="5">
        <v>4520</v>
      </c>
      <c r="B456" s="2" t="s">
        <v>887</v>
      </c>
      <c r="C456" s="305">
        <v>0</v>
      </c>
      <c r="D456" s="305">
        <v>0</v>
      </c>
      <c r="E456" s="305">
        <v>0</v>
      </c>
      <c r="F456" s="305">
        <v>9506.39</v>
      </c>
      <c r="G456" s="305">
        <v>0</v>
      </c>
      <c r="H456" s="305">
        <v>0</v>
      </c>
      <c r="I456" s="305">
        <v>0</v>
      </c>
      <c r="J456" s="1" t="s">
        <v>693</v>
      </c>
      <c r="K456" s="3" t="s">
        <v>982</v>
      </c>
      <c r="L456" s="365"/>
      <c r="M456" s="2">
        <v>9506.39</v>
      </c>
      <c r="N456" s="311">
        <v>400</v>
      </c>
      <c r="O456" s="310" t="s">
        <v>458</v>
      </c>
      <c r="P456" s="309">
        <v>40</v>
      </c>
      <c r="Q456" s="60" t="s">
        <v>456</v>
      </c>
      <c r="R456" s="309">
        <v>5019</v>
      </c>
      <c r="S456" s="60" t="s">
        <v>679</v>
      </c>
      <c r="T456" s="61">
        <v>120</v>
      </c>
      <c r="U456" s="60" t="s">
        <v>382</v>
      </c>
      <c r="V456" s="1">
        <v>3</v>
      </c>
      <c r="W456" s="1" t="s">
        <v>37</v>
      </c>
      <c r="X456" s="1" t="s">
        <v>1204</v>
      </c>
      <c r="Y456" s="2">
        <v>0</v>
      </c>
      <c r="Z456" s="2">
        <v>0</v>
      </c>
      <c r="AA456" s="2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2">
        <v>0</v>
      </c>
      <c r="AK456" s="2">
        <v>0</v>
      </c>
      <c r="AL456" s="2">
        <v>1399.8</v>
      </c>
      <c r="AM456" s="2">
        <v>2130.38</v>
      </c>
      <c r="AN456" s="2">
        <v>1669.73</v>
      </c>
      <c r="AO456" s="2">
        <v>1116.35</v>
      </c>
      <c r="AP456" s="2">
        <v>1116.35</v>
      </c>
      <c r="AQ456" s="2">
        <v>691.26</v>
      </c>
      <c r="AR456" s="2">
        <v>921.68</v>
      </c>
      <c r="AS456" s="2">
        <v>460.84</v>
      </c>
      <c r="AT456" s="2">
        <v>0</v>
      </c>
      <c r="AU456" s="2">
        <v>0</v>
      </c>
      <c r="AV456" s="2">
        <v>0</v>
      </c>
      <c r="AW456" s="1">
        <v>452</v>
      </c>
    </row>
    <row r="457" spans="1:49" ht="12.75">
      <c r="A457" s="5">
        <v>4520</v>
      </c>
      <c r="B457" s="2" t="s">
        <v>888</v>
      </c>
      <c r="C457" s="305">
        <v>0</v>
      </c>
      <c r="D457" s="305">
        <v>0</v>
      </c>
      <c r="E457" s="305">
        <v>0</v>
      </c>
      <c r="F457" s="305">
        <v>1384.84</v>
      </c>
      <c r="G457" s="305">
        <v>0</v>
      </c>
      <c r="H457" s="305">
        <v>0</v>
      </c>
      <c r="I457" s="305">
        <v>0</v>
      </c>
      <c r="J457" s="1" t="s">
        <v>695</v>
      </c>
      <c r="K457" s="3" t="s">
        <v>982</v>
      </c>
      <c r="L457" s="365"/>
      <c r="M457" s="2">
        <v>1384.84</v>
      </c>
      <c r="N457" s="311">
        <v>400</v>
      </c>
      <c r="O457" s="310" t="s">
        <v>458</v>
      </c>
      <c r="P457" s="309">
        <v>40</v>
      </c>
      <c r="Q457" s="60" t="s">
        <v>456</v>
      </c>
      <c r="R457" s="309">
        <v>5019</v>
      </c>
      <c r="S457" s="60" t="s">
        <v>679</v>
      </c>
      <c r="T457" s="61">
        <v>120</v>
      </c>
      <c r="U457" s="60" t="s">
        <v>382</v>
      </c>
      <c r="V457" s="1">
        <v>3</v>
      </c>
      <c r="W457" s="1" t="s">
        <v>37</v>
      </c>
      <c r="X457" s="1" t="s">
        <v>1204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0</v>
      </c>
      <c r="AG457" s="2">
        <v>0</v>
      </c>
      <c r="AH457" s="2">
        <v>0</v>
      </c>
      <c r="AI457" s="2">
        <v>0</v>
      </c>
      <c r="AJ457" s="2">
        <v>0</v>
      </c>
      <c r="AK457" s="2">
        <v>0</v>
      </c>
      <c r="AL457" s="2">
        <v>0</v>
      </c>
      <c r="AM457" s="2">
        <v>0</v>
      </c>
      <c r="AN457" s="2">
        <v>0</v>
      </c>
      <c r="AO457" s="2">
        <v>0</v>
      </c>
      <c r="AP457" s="2">
        <v>1384.84</v>
      </c>
      <c r="AQ457" s="2">
        <v>0</v>
      </c>
      <c r="AR457" s="2">
        <v>0</v>
      </c>
      <c r="AS457" s="2">
        <v>0</v>
      </c>
      <c r="AT457" s="2">
        <v>0</v>
      </c>
      <c r="AU457" s="2">
        <v>0</v>
      </c>
      <c r="AV457" s="2">
        <v>0</v>
      </c>
      <c r="AW457" s="1">
        <v>453</v>
      </c>
    </row>
    <row r="458" spans="1:49" ht="12.75">
      <c r="A458" s="5">
        <v>4520</v>
      </c>
      <c r="B458" s="2" t="s">
        <v>889</v>
      </c>
      <c r="C458" s="305">
        <v>1198.88</v>
      </c>
      <c r="D458" s="305">
        <v>0</v>
      </c>
      <c r="E458" s="305">
        <v>764.56</v>
      </c>
      <c r="F458" s="305">
        <v>10090.56</v>
      </c>
      <c r="G458" s="305">
        <v>0</v>
      </c>
      <c r="H458" s="305">
        <v>1466.34</v>
      </c>
      <c r="I458" s="305">
        <v>0</v>
      </c>
      <c r="J458" s="1" t="s">
        <v>697</v>
      </c>
      <c r="K458" s="3" t="s">
        <v>982</v>
      </c>
      <c r="L458" s="365"/>
      <c r="M458" s="2">
        <v>10090.56</v>
      </c>
      <c r="N458" s="311">
        <v>400</v>
      </c>
      <c r="O458" s="310" t="s">
        <v>458</v>
      </c>
      <c r="P458" s="309">
        <v>40</v>
      </c>
      <c r="Q458" s="60" t="s">
        <v>456</v>
      </c>
      <c r="R458" s="309">
        <v>5021</v>
      </c>
      <c r="S458" s="60" t="s">
        <v>201</v>
      </c>
      <c r="T458" s="61">
        <v>130</v>
      </c>
      <c r="U458" s="60" t="s">
        <v>502</v>
      </c>
      <c r="V458" s="1">
        <v>3</v>
      </c>
      <c r="W458" s="1" t="s">
        <v>37</v>
      </c>
      <c r="X458" s="1" t="s">
        <v>1215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</v>
      </c>
      <c r="AH458" s="2">
        <v>0</v>
      </c>
      <c r="AI458" s="2">
        <v>701.78</v>
      </c>
      <c r="AJ458" s="2">
        <v>764.56</v>
      </c>
      <c r="AK458" s="2">
        <v>0</v>
      </c>
      <c r="AL458" s="2">
        <v>738.87</v>
      </c>
      <c r="AM458" s="2">
        <v>838.74</v>
      </c>
      <c r="AN458" s="2">
        <v>1152.57</v>
      </c>
      <c r="AO458" s="2">
        <v>838.74</v>
      </c>
      <c r="AP458" s="2">
        <v>838.74</v>
      </c>
      <c r="AQ458" s="2">
        <v>1162.54</v>
      </c>
      <c r="AR458" s="2">
        <v>860.28</v>
      </c>
      <c r="AS458" s="2">
        <v>740.64</v>
      </c>
      <c r="AT458" s="2">
        <v>860.28</v>
      </c>
      <c r="AU458" s="2">
        <v>860.28</v>
      </c>
      <c r="AV458" s="2">
        <v>1198.88</v>
      </c>
      <c r="AW458" s="1">
        <v>454</v>
      </c>
    </row>
    <row r="459" spans="1:49" ht="12.75">
      <c r="A459" s="5">
        <v>4520</v>
      </c>
      <c r="B459" s="2" t="s">
        <v>1387</v>
      </c>
      <c r="C459" s="305">
        <v>0</v>
      </c>
      <c r="D459" s="305">
        <v>0</v>
      </c>
      <c r="E459" s="305">
        <v>0</v>
      </c>
      <c r="F459" s="305">
        <v>541.84</v>
      </c>
      <c r="G459" s="305">
        <v>0</v>
      </c>
      <c r="H459" s="305">
        <v>386.64</v>
      </c>
      <c r="I459" s="305">
        <v>0</v>
      </c>
      <c r="J459" s="1" t="s">
        <v>703</v>
      </c>
      <c r="K459" s="3" t="s">
        <v>982</v>
      </c>
      <c r="L459" s="365"/>
      <c r="M459" s="2">
        <v>541.84</v>
      </c>
      <c r="N459" s="311">
        <v>400</v>
      </c>
      <c r="O459" s="310" t="s">
        <v>458</v>
      </c>
      <c r="P459" s="309">
        <v>40</v>
      </c>
      <c r="Q459" s="60" t="s">
        <v>456</v>
      </c>
      <c r="R459" s="309">
        <v>5025</v>
      </c>
      <c r="S459" s="60" t="s">
        <v>204</v>
      </c>
      <c r="T459" s="61">
        <v>140</v>
      </c>
      <c r="U459" s="60" t="s">
        <v>504</v>
      </c>
      <c r="V459" s="1">
        <v>3</v>
      </c>
      <c r="W459" s="1" t="s">
        <v>37</v>
      </c>
      <c r="X459" s="1" t="s">
        <v>1219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0</v>
      </c>
      <c r="AH459" s="2">
        <v>0</v>
      </c>
      <c r="AI459" s="2">
        <v>386.64</v>
      </c>
      <c r="AJ459" s="2">
        <v>0</v>
      </c>
      <c r="AK459" s="2">
        <v>0</v>
      </c>
      <c r="AL459" s="2">
        <v>0</v>
      </c>
      <c r="AM459" s="2">
        <v>0</v>
      </c>
      <c r="AN459" s="2">
        <v>0</v>
      </c>
      <c r="AO459" s="2">
        <v>0</v>
      </c>
      <c r="AP459" s="2">
        <v>0</v>
      </c>
      <c r="AQ459" s="2">
        <v>541.84</v>
      </c>
      <c r="AR459" s="2">
        <v>0</v>
      </c>
      <c r="AS459" s="2">
        <v>0</v>
      </c>
      <c r="AT459" s="2">
        <v>0</v>
      </c>
      <c r="AU459" s="2">
        <v>0</v>
      </c>
      <c r="AV459" s="2">
        <v>0</v>
      </c>
      <c r="AW459" s="1">
        <v>455</v>
      </c>
    </row>
    <row r="460" spans="1:49" ht="12.75">
      <c r="A460" s="5">
        <v>4520</v>
      </c>
      <c r="B460" s="2" t="s">
        <v>890</v>
      </c>
      <c r="C460" s="305">
        <v>195.34</v>
      </c>
      <c r="D460" s="305">
        <v>0</v>
      </c>
      <c r="E460" s="305">
        <v>350.14</v>
      </c>
      <c r="F460" s="305">
        <v>1158.34</v>
      </c>
      <c r="G460" s="305">
        <v>0</v>
      </c>
      <c r="H460" s="305">
        <v>350.14</v>
      </c>
      <c r="I460" s="305">
        <v>0</v>
      </c>
      <c r="J460" s="1" t="s">
        <v>722</v>
      </c>
      <c r="K460" s="3" t="s">
        <v>982</v>
      </c>
      <c r="L460" s="365"/>
      <c r="M460" s="2">
        <v>1158.34</v>
      </c>
      <c r="N460" s="311">
        <v>400</v>
      </c>
      <c r="O460" s="310" t="s">
        <v>458</v>
      </c>
      <c r="P460" s="309">
        <v>40</v>
      </c>
      <c r="Q460" s="60" t="s">
        <v>456</v>
      </c>
      <c r="R460" s="309">
        <v>5027</v>
      </c>
      <c r="S460" s="60" t="s">
        <v>206</v>
      </c>
      <c r="T460" s="61">
        <v>160</v>
      </c>
      <c r="U460" s="60" t="s">
        <v>716</v>
      </c>
      <c r="V460" s="1">
        <v>3</v>
      </c>
      <c r="W460" s="1" t="s">
        <v>37</v>
      </c>
      <c r="X460" s="1" t="s">
        <v>1231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350.14</v>
      </c>
      <c r="AK460" s="2">
        <v>0</v>
      </c>
      <c r="AL460" s="2">
        <v>0</v>
      </c>
      <c r="AM460" s="2">
        <v>0</v>
      </c>
      <c r="AN460" s="2">
        <v>0</v>
      </c>
      <c r="AO460" s="2">
        <v>0</v>
      </c>
      <c r="AP460" s="2">
        <v>181.64</v>
      </c>
      <c r="AQ460" s="2">
        <v>0</v>
      </c>
      <c r="AR460" s="2">
        <v>195.34</v>
      </c>
      <c r="AS460" s="2">
        <v>0</v>
      </c>
      <c r="AT460" s="2">
        <v>586.02</v>
      </c>
      <c r="AU460" s="2">
        <v>0</v>
      </c>
      <c r="AV460" s="2">
        <v>195.34</v>
      </c>
      <c r="AW460" s="1">
        <v>456</v>
      </c>
    </row>
    <row r="461" spans="1:49" ht="12.75">
      <c r="A461" s="5">
        <v>4520</v>
      </c>
      <c r="B461" s="2" t="s">
        <v>1388</v>
      </c>
      <c r="C461" s="305">
        <v>0</v>
      </c>
      <c r="D461" s="305">
        <v>0</v>
      </c>
      <c r="E461" s="305">
        <v>0</v>
      </c>
      <c r="F461" s="305">
        <v>3928.9</v>
      </c>
      <c r="G461" s="305">
        <v>0</v>
      </c>
      <c r="H461" s="305">
        <v>0</v>
      </c>
      <c r="I461" s="305">
        <v>0</v>
      </c>
      <c r="J461" s="1" t="s">
        <v>724</v>
      </c>
      <c r="K461" s="3" t="s">
        <v>982</v>
      </c>
      <c r="L461" s="365"/>
      <c r="M461" s="2">
        <v>3928.9</v>
      </c>
      <c r="N461" s="311">
        <v>400</v>
      </c>
      <c r="O461" s="310" t="s">
        <v>458</v>
      </c>
      <c r="P461" s="309">
        <v>40</v>
      </c>
      <c r="Q461" s="60" t="s">
        <v>456</v>
      </c>
      <c r="R461" s="309">
        <v>5027</v>
      </c>
      <c r="S461" s="60" t="s">
        <v>206</v>
      </c>
      <c r="T461" s="61">
        <v>160</v>
      </c>
      <c r="U461" s="60" t="s">
        <v>716</v>
      </c>
      <c r="V461" s="1">
        <v>3</v>
      </c>
      <c r="W461" s="1" t="s">
        <v>37</v>
      </c>
      <c r="X461" s="1" t="s">
        <v>1237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0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2">
        <v>0</v>
      </c>
      <c r="AK461" s="2">
        <v>0</v>
      </c>
      <c r="AL461" s="2">
        <v>0</v>
      </c>
      <c r="AM461" s="2">
        <v>0</v>
      </c>
      <c r="AN461" s="2">
        <v>1738.34</v>
      </c>
      <c r="AO461" s="2">
        <v>1399.8</v>
      </c>
      <c r="AP461" s="2">
        <v>790.76</v>
      </c>
      <c r="AQ461" s="2">
        <v>0</v>
      </c>
      <c r="AR461" s="2">
        <v>0</v>
      </c>
      <c r="AS461" s="2">
        <v>0</v>
      </c>
      <c r="AT461" s="2">
        <v>0</v>
      </c>
      <c r="AU461" s="2">
        <v>0</v>
      </c>
      <c r="AV461" s="2">
        <v>0</v>
      </c>
      <c r="AW461" s="1">
        <v>457</v>
      </c>
    </row>
    <row r="462" spans="1:49" ht="12.75">
      <c r="A462" s="5">
        <v>4520</v>
      </c>
      <c r="B462" s="2" t="s">
        <v>891</v>
      </c>
      <c r="C462" s="305">
        <v>0</v>
      </c>
      <c r="D462" s="305">
        <v>0</v>
      </c>
      <c r="E462" s="305">
        <v>0</v>
      </c>
      <c r="F462" s="305">
        <v>572.2</v>
      </c>
      <c r="G462" s="305">
        <v>0</v>
      </c>
      <c r="H462" s="305">
        <v>0</v>
      </c>
      <c r="I462" s="305">
        <v>0</v>
      </c>
      <c r="J462" s="1" t="s">
        <v>728</v>
      </c>
      <c r="K462" s="3" t="s">
        <v>982</v>
      </c>
      <c r="L462" s="365"/>
      <c r="M462" s="2">
        <v>572.2</v>
      </c>
      <c r="N462" s="311">
        <v>400</v>
      </c>
      <c r="O462" s="310" t="s">
        <v>458</v>
      </c>
      <c r="P462" s="309">
        <v>40</v>
      </c>
      <c r="Q462" s="60" t="s">
        <v>456</v>
      </c>
      <c r="R462" s="309">
        <v>5029</v>
      </c>
      <c r="S462" s="60" t="s">
        <v>208</v>
      </c>
      <c r="T462" s="61">
        <v>170</v>
      </c>
      <c r="U462" s="60" t="s">
        <v>501</v>
      </c>
      <c r="V462" s="1">
        <v>3</v>
      </c>
      <c r="W462" s="1" t="s">
        <v>37</v>
      </c>
      <c r="X462" s="1" t="s">
        <v>1240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0</v>
      </c>
      <c r="AH462" s="2">
        <v>0</v>
      </c>
      <c r="AI462" s="2">
        <v>0</v>
      </c>
      <c r="AJ462" s="2">
        <v>0</v>
      </c>
      <c r="AK462" s="2">
        <v>154.52</v>
      </c>
      <c r="AL462" s="2">
        <v>0</v>
      </c>
      <c r="AM462" s="2">
        <v>417.68</v>
      </c>
      <c r="AN462" s="2">
        <v>0</v>
      </c>
      <c r="AO462" s="2">
        <v>0</v>
      </c>
      <c r="AP462" s="2">
        <v>0</v>
      </c>
      <c r="AQ462" s="2">
        <v>0</v>
      </c>
      <c r="AR462" s="2">
        <v>0</v>
      </c>
      <c r="AS462" s="2">
        <v>0</v>
      </c>
      <c r="AT462" s="2">
        <v>0</v>
      </c>
      <c r="AU462" s="2">
        <v>0</v>
      </c>
      <c r="AV462" s="2">
        <v>0</v>
      </c>
      <c r="AW462" s="1">
        <v>458</v>
      </c>
    </row>
    <row r="463" spans="1:49" ht="12.75">
      <c r="A463" s="5">
        <v>4520</v>
      </c>
      <c r="B463" s="2" t="s">
        <v>302</v>
      </c>
      <c r="C463" s="305">
        <v>0</v>
      </c>
      <c r="D463" s="305">
        <v>0</v>
      </c>
      <c r="E463" s="305">
        <v>0</v>
      </c>
      <c r="F463" s="305">
        <v>0</v>
      </c>
      <c r="G463" s="305">
        <v>0</v>
      </c>
      <c r="H463" s="305">
        <v>6592.75</v>
      </c>
      <c r="I463" s="305">
        <v>0</v>
      </c>
      <c r="J463" s="1" t="s">
        <v>772</v>
      </c>
      <c r="K463" s="3" t="s">
        <v>982</v>
      </c>
      <c r="L463" s="365"/>
      <c r="M463" s="2">
        <v>0</v>
      </c>
      <c r="N463" s="311">
        <v>400</v>
      </c>
      <c r="O463" s="310" t="s">
        <v>458</v>
      </c>
      <c r="P463" s="309">
        <v>40</v>
      </c>
      <c r="Q463" s="60" t="s">
        <v>456</v>
      </c>
      <c r="R463" s="309">
        <v>5021</v>
      </c>
      <c r="S463" s="60" t="s">
        <v>201</v>
      </c>
      <c r="T463" s="61">
        <v>130</v>
      </c>
      <c r="U463" s="60" t="s">
        <v>502</v>
      </c>
      <c r="V463" s="1">
        <v>3</v>
      </c>
      <c r="W463" s="1" t="s">
        <v>37</v>
      </c>
      <c r="X463" s="1" t="s">
        <v>1215</v>
      </c>
      <c r="Y463" s="2">
        <v>804.26</v>
      </c>
      <c r="Z463" s="2">
        <v>824.96</v>
      </c>
      <c r="AA463" s="2">
        <v>824.96</v>
      </c>
      <c r="AB463" s="2">
        <v>824.96</v>
      </c>
      <c r="AC463" s="2">
        <v>277</v>
      </c>
      <c r="AD463" s="2">
        <v>386.01</v>
      </c>
      <c r="AE463" s="2">
        <v>764.56</v>
      </c>
      <c r="AF463" s="2">
        <v>382.28</v>
      </c>
      <c r="AG463" s="2">
        <v>739.2</v>
      </c>
      <c r="AH463" s="2">
        <v>764.56</v>
      </c>
      <c r="AI463" s="2">
        <v>0</v>
      </c>
      <c r="AJ463" s="2">
        <v>0</v>
      </c>
      <c r="AK463" s="2">
        <v>0</v>
      </c>
      <c r="AL463" s="2">
        <v>0</v>
      </c>
      <c r="AM463" s="2">
        <v>0</v>
      </c>
      <c r="AN463" s="2">
        <v>0</v>
      </c>
      <c r="AO463" s="2">
        <v>0</v>
      </c>
      <c r="AP463" s="2">
        <v>0</v>
      </c>
      <c r="AQ463" s="2">
        <v>0</v>
      </c>
      <c r="AR463" s="2">
        <v>0</v>
      </c>
      <c r="AS463" s="2">
        <v>0</v>
      </c>
      <c r="AT463" s="2">
        <v>0</v>
      </c>
      <c r="AU463" s="2">
        <v>0</v>
      </c>
      <c r="AV463" s="2">
        <v>0</v>
      </c>
      <c r="AW463" s="1">
        <v>459</v>
      </c>
    </row>
    <row r="464" spans="1:49" ht="12.75">
      <c r="A464" s="5">
        <v>4520</v>
      </c>
      <c r="B464" s="2" t="s">
        <v>303</v>
      </c>
      <c r="C464" s="305">
        <v>0</v>
      </c>
      <c r="D464" s="305">
        <v>0</v>
      </c>
      <c r="E464" s="305">
        <v>0</v>
      </c>
      <c r="F464" s="305">
        <v>0</v>
      </c>
      <c r="G464" s="305">
        <v>0</v>
      </c>
      <c r="H464" s="305">
        <v>2382.35</v>
      </c>
      <c r="I464" s="305">
        <v>0</v>
      </c>
      <c r="J464" s="1" t="s">
        <v>780</v>
      </c>
      <c r="K464" s="3" t="s">
        <v>982</v>
      </c>
      <c r="L464" s="365"/>
      <c r="M464" s="2">
        <v>0</v>
      </c>
      <c r="N464" s="311">
        <v>400</v>
      </c>
      <c r="O464" s="310" t="s">
        <v>458</v>
      </c>
      <c r="P464" s="309">
        <v>40</v>
      </c>
      <c r="Q464" s="60" t="s">
        <v>456</v>
      </c>
      <c r="R464" s="309">
        <v>5021</v>
      </c>
      <c r="S464" s="60" t="s">
        <v>201</v>
      </c>
      <c r="T464" s="61">
        <v>120</v>
      </c>
      <c r="U464" s="60" t="s">
        <v>382</v>
      </c>
      <c r="V464" s="1">
        <v>3</v>
      </c>
      <c r="W464" s="1" t="s">
        <v>37</v>
      </c>
      <c r="X464" s="1" t="s">
        <v>1293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902.91</v>
      </c>
      <c r="AE464" s="2">
        <v>739.72</v>
      </c>
      <c r="AF464" s="2">
        <v>369.86</v>
      </c>
      <c r="AG464" s="2">
        <v>369.86</v>
      </c>
      <c r="AH464" s="2">
        <v>0</v>
      </c>
      <c r="AI464" s="2">
        <v>0</v>
      </c>
      <c r="AJ464" s="2">
        <v>0</v>
      </c>
      <c r="AK464" s="2">
        <v>0</v>
      </c>
      <c r="AL464" s="2">
        <v>0</v>
      </c>
      <c r="AM464" s="2">
        <v>0</v>
      </c>
      <c r="AN464" s="2">
        <v>0</v>
      </c>
      <c r="AO464" s="2">
        <v>0</v>
      </c>
      <c r="AP464" s="2">
        <v>0</v>
      </c>
      <c r="AQ464" s="2">
        <v>0</v>
      </c>
      <c r="AR464" s="2">
        <v>0</v>
      </c>
      <c r="AS464" s="2">
        <v>0</v>
      </c>
      <c r="AT464" s="2">
        <v>0</v>
      </c>
      <c r="AU464" s="2">
        <v>0</v>
      </c>
      <c r="AV464" s="2">
        <v>0</v>
      </c>
      <c r="AW464" s="1">
        <v>460</v>
      </c>
    </row>
    <row r="465" spans="1:49" ht="12.75">
      <c r="A465" s="5">
        <v>4520</v>
      </c>
      <c r="B465" s="2" t="s">
        <v>417</v>
      </c>
      <c r="C465" s="305">
        <v>0</v>
      </c>
      <c r="D465" s="305">
        <v>0</v>
      </c>
      <c r="E465" s="305">
        <v>0</v>
      </c>
      <c r="F465" s="305">
        <v>0</v>
      </c>
      <c r="G465" s="305">
        <v>0</v>
      </c>
      <c r="H465" s="305">
        <v>1236.26</v>
      </c>
      <c r="I465" s="305">
        <v>0</v>
      </c>
      <c r="J465" s="1" t="s">
        <v>792</v>
      </c>
      <c r="K465" s="3" t="s">
        <v>982</v>
      </c>
      <c r="L465" s="365"/>
      <c r="M465" s="2">
        <v>0</v>
      </c>
      <c r="N465" s="311">
        <v>400</v>
      </c>
      <c r="O465" s="310" t="s">
        <v>458</v>
      </c>
      <c r="P465" s="309">
        <v>40</v>
      </c>
      <c r="Q465" s="60" t="s">
        <v>456</v>
      </c>
      <c r="R465" s="309">
        <v>5024</v>
      </c>
      <c r="S465" s="60" t="s">
        <v>155</v>
      </c>
      <c r="T465" s="61">
        <v>170</v>
      </c>
      <c r="U465" s="60" t="s">
        <v>501</v>
      </c>
      <c r="V465" s="1">
        <v>3</v>
      </c>
      <c r="W465" s="1" t="s">
        <v>37</v>
      </c>
      <c r="X465" s="1" t="s">
        <v>1309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912.33</v>
      </c>
      <c r="AE465" s="2">
        <v>0</v>
      </c>
      <c r="AF465" s="2">
        <v>323.93</v>
      </c>
      <c r="AG465" s="2">
        <v>0</v>
      </c>
      <c r="AH465" s="2">
        <v>0</v>
      </c>
      <c r="AI465" s="2">
        <v>0</v>
      </c>
      <c r="AJ465" s="2">
        <v>0</v>
      </c>
      <c r="AK465" s="2">
        <v>0</v>
      </c>
      <c r="AL465" s="2">
        <v>0</v>
      </c>
      <c r="AM465" s="2">
        <v>0</v>
      </c>
      <c r="AN465" s="2">
        <v>0</v>
      </c>
      <c r="AO465" s="2">
        <v>0</v>
      </c>
      <c r="AP465" s="2">
        <v>0</v>
      </c>
      <c r="AQ465" s="2">
        <v>0</v>
      </c>
      <c r="AR465" s="2">
        <v>0</v>
      </c>
      <c r="AS465" s="2">
        <v>0</v>
      </c>
      <c r="AT465" s="2">
        <v>0</v>
      </c>
      <c r="AU465" s="2">
        <v>0</v>
      </c>
      <c r="AV465" s="2">
        <v>0</v>
      </c>
      <c r="AW465" s="1">
        <v>461</v>
      </c>
    </row>
    <row r="466" spans="1:49" ht="12.75">
      <c r="A466" s="5">
        <v>4520</v>
      </c>
      <c r="B466" s="2" t="s">
        <v>304</v>
      </c>
      <c r="C466" s="305">
        <v>0</v>
      </c>
      <c r="D466" s="305">
        <v>0</v>
      </c>
      <c r="E466" s="305">
        <v>0</v>
      </c>
      <c r="F466" s="305">
        <v>0</v>
      </c>
      <c r="G466" s="305">
        <v>0</v>
      </c>
      <c r="H466" s="305">
        <v>1752.5</v>
      </c>
      <c r="I466" s="305">
        <v>0</v>
      </c>
      <c r="J466" s="1" t="s">
        <v>806</v>
      </c>
      <c r="K466" s="3" t="s">
        <v>982</v>
      </c>
      <c r="L466" s="365"/>
      <c r="M466" s="2">
        <v>0</v>
      </c>
      <c r="N466" s="311">
        <v>400</v>
      </c>
      <c r="O466" s="310" t="s">
        <v>458</v>
      </c>
      <c r="P466" s="309">
        <v>40</v>
      </c>
      <c r="Q466" s="60" t="s">
        <v>456</v>
      </c>
      <c r="R466" s="309">
        <v>5027</v>
      </c>
      <c r="S466" s="60" t="s">
        <v>206</v>
      </c>
      <c r="T466" s="61">
        <v>160</v>
      </c>
      <c r="U466" s="60" t="s">
        <v>716</v>
      </c>
      <c r="V466" s="1">
        <v>3</v>
      </c>
      <c r="W466" s="1" t="s">
        <v>37</v>
      </c>
      <c r="X466" s="1" t="s">
        <v>1231</v>
      </c>
      <c r="Y466" s="2">
        <v>0</v>
      </c>
      <c r="Z466" s="2">
        <v>0</v>
      </c>
      <c r="AA466" s="2">
        <v>1218.58</v>
      </c>
      <c r="AB466" s="2">
        <v>0</v>
      </c>
      <c r="AC466" s="2">
        <v>0</v>
      </c>
      <c r="AD466" s="2">
        <v>0</v>
      </c>
      <c r="AE466" s="2">
        <v>533.92</v>
      </c>
      <c r="AF466" s="2">
        <v>0</v>
      </c>
      <c r="AG466" s="2">
        <v>0</v>
      </c>
      <c r="AH466" s="2">
        <v>0</v>
      </c>
      <c r="AI466" s="2">
        <v>0</v>
      </c>
      <c r="AJ466" s="2">
        <v>0</v>
      </c>
      <c r="AK466" s="2">
        <v>0</v>
      </c>
      <c r="AL466" s="2">
        <v>0</v>
      </c>
      <c r="AM466" s="2">
        <v>0</v>
      </c>
      <c r="AN466" s="2">
        <v>0</v>
      </c>
      <c r="AO466" s="2">
        <v>0</v>
      </c>
      <c r="AP466" s="2">
        <v>0</v>
      </c>
      <c r="AQ466" s="2">
        <v>0</v>
      </c>
      <c r="AR466" s="2">
        <v>0</v>
      </c>
      <c r="AS466" s="2">
        <v>0</v>
      </c>
      <c r="AT466" s="2">
        <v>0</v>
      </c>
      <c r="AU466" s="2">
        <v>0</v>
      </c>
      <c r="AV466" s="2">
        <v>0</v>
      </c>
      <c r="AW466" s="1">
        <v>462</v>
      </c>
    </row>
    <row r="467" spans="1:49" ht="12.75">
      <c r="A467" s="5">
        <v>4520</v>
      </c>
      <c r="B467" s="2" t="s">
        <v>418</v>
      </c>
      <c r="C467" s="305">
        <v>0</v>
      </c>
      <c r="D467" s="305">
        <v>0</v>
      </c>
      <c r="E467" s="305">
        <v>0</v>
      </c>
      <c r="F467" s="305">
        <v>0</v>
      </c>
      <c r="G467" s="305">
        <v>0</v>
      </c>
      <c r="H467" s="305">
        <v>11653.35</v>
      </c>
      <c r="I467" s="305">
        <v>0</v>
      </c>
      <c r="J467" s="1" t="s">
        <v>807</v>
      </c>
      <c r="K467" s="3" t="s">
        <v>982</v>
      </c>
      <c r="L467" s="365"/>
      <c r="M467" s="2">
        <v>0</v>
      </c>
      <c r="N467" s="311">
        <v>400</v>
      </c>
      <c r="O467" s="310" t="s">
        <v>458</v>
      </c>
      <c r="P467" s="309">
        <v>40</v>
      </c>
      <c r="Q467" s="60" t="s">
        <v>456</v>
      </c>
      <c r="R467" s="309">
        <v>5027</v>
      </c>
      <c r="S467" s="60" t="s">
        <v>206</v>
      </c>
      <c r="T467" s="61">
        <v>160</v>
      </c>
      <c r="U467" s="60" t="s">
        <v>716</v>
      </c>
      <c r="V467" s="1">
        <v>3</v>
      </c>
      <c r="W467" s="1" t="s">
        <v>37</v>
      </c>
      <c r="X467" s="1" t="s">
        <v>1237</v>
      </c>
      <c r="Y467" s="2">
        <v>0</v>
      </c>
      <c r="Z467" s="2">
        <v>0</v>
      </c>
      <c r="AA467" s="2">
        <v>2164.15</v>
      </c>
      <c r="AB467" s="2">
        <v>1196.29</v>
      </c>
      <c r="AC467" s="2">
        <v>3018.99</v>
      </c>
      <c r="AD467" s="2">
        <v>987.84</v>
      </c>
      <c r="AE467" s="2">
        <v>3258.43</v>
      </c>
      <c r="AF467" s="2">
        <v>-236.3</v>
      </c>
      <c r="AG467" s="2">
        <v>1263.95</v>
      </c>
      <c r="AH467" s="2">
        <v>0</v>
      </c>
      <c r="AI467" s="2">
        <v>0</v>
      </c>
      <c r="AJ467" s="2">
        <v>0</v>
      </c>
      <c r="AK467" s="2">
        <v>0</v>
      </c>
      <c r="AL467" s="2">
        <v>0</v>
      </c>
      <c r="AM467" s="2">
        <v>0</v>
      </c>
      <c r="AN467" s="2">
        <v>0</v>
      </c>
      <c r="AO467" s="2">
        <v>0</v>
      </c>
      <c r="AP467" s="2">
        <v>0</v>
      </c>
      <c r="AQ467" s="2">
        <v>0</v>
      </c>
      <c r="AR467" s="2">
        <v>0</v>
      </c>
      <c r="AS467" s="2">
        <v>0</v>
      </c>
      <c r="AT467" s="2">
        <v>0</v>
      </c>
      <c r="AU467" s="2">
        <v>0</v>
      </c>
      <c r="AV467" s="2">
        <v>0</v>
      </c>
      <c r="AW467" s="1">
        <v>463</v>
      </c>
    </row>
    <row r="468" spans="1:49" ht="12.75">
      <c r="A468" s="5">
        <v>4520</v>
      </c>
      <c r="B468" s="2" t="s">
        <v>1389</v>
      </c>
      <c r="C468" s="305">
        <v>0</v>
      </c>
      <c r="D468" s="305">
        <v>0</v>
      </c>
      <c r="E468" s="305">
        <v>0</v>
      </c>
      <c r="F468" s="305">
        <v>0</v>
      </c>
      <c r="G468" s="305">
        <v>0</v>
      </c>
      <c r="H468" s="305">
        <v>229.44</v>
      </c>
      <c r="I468" s="305">
        <v>0</v>
      </c>
      <c r="J468" s="1" t="s">
        <v>811</v>
      </c>
      <c r="K468" s="3" t="s">
        <v>982</v>
      </c>
      <c r="L468" s="365"/>
      <c r="M468" s="2">
        <v>0</v>
      </c>
      <c r="N468" s="311">
        <v>400</v>
      </c>
      <c r="O468" s="310" t="s">
        <v>458</v>
      </c>
      <c r="P468" s="309">
        <v>40</v>
      </c>
      <c r="Q468" s="60" t="s">
        <v>456</v>
      </c>
      <c r="R468" s="309">
        <v>5028</v>
      </c>
      <c r="S468" s="60" t="s">
        <v>207</v>
      </c>
      <c r="T468" s="61">
        <v>170</v>
      </c>
      <c r="U468" s="60" t="s">
        <v>501</v>
      </c>
      <c r="V468" s="1">
        <v>3</v>
      </c>
      <c r="W468" s="1" t="s">
        <v>37</v>
      </c>
      <c r="X468" s="1" t="s">
        <v>1242</v>
      </c>
      <c r="Y468" s="2">
        <v>0</v>
      </c>
      <c r="Z468" s="2">
        <v>0</v>
      </c>
      <c r="AA468" s="2">
        <v>0</v>
      </c>
      <c r="AB468" s="2">
        <v>0</v>
      </c>
      <c r="AC468" s="2">
        <v>229.44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0</v>
      </c>
      <c r="AK468" s="2">
        <v>0</v>
      </c>
      <c r="AL468" s="2">
        <v>0</v>
      </c>
      <c r="AM468" s="2">
        <v>0</v>
      </c>
      <c r="AN468" s="2">
        <v>0</v>
      </c>
      <c r="AO468" s="2">
        <v>0</v>
      </c>
      <c r="AP468" s="2">
        <v>0</v>
      </c>
      <c r="AQ468" s="2">
        <v>0</v>
      </c>
      <c r="AR468" s="2">
        <v>0</v>
      </c>
      <c r="AS468" s="2">
        <v>0</v>
      </c>
      <c r="AT468" s="2">
        <v>0</v>
      </c>
      <c r="AU468" s="2">
        <v>0</v>
      </c>
      <c r="AV468" s="2">
        <v>0</v>
      </c>
      <c r="AW468" s="1">
        <v>464</v>
      </c>
    </row>
    <row r="469" spans="1:49" ht="12.75">
      <c r="A469" s="5">
        <v>4610</v>
      </c>
      <c r="B469" s="2" t="s">
        <v>305</v>
      </c>
      <c r="C469" s="305">
        <v>0</v>
      </c>
      <c r="D469" s="305">
        <v>0</v>
      </c>
      <c r="E469" s="305">
        <v>0</v>
      </c>
      <c r="F469" s="305">
        <v>0</v>
      </c>
      <c r="G469" s="305">
        <v>0</v>
      </c>
      <c r="H469" s="305">
        <v>91462.83</v>
      </c>
      <c r="I469" s="305">
        <v>0</v>
      </c>
      <c r="J469" s="1" t="s">
        <v>676</v>
      </c>
      <c r="K469" s="3" t="s">
        <v>982</v>
      </c>
      <c r="L469" s="365"/>
      <c r="M469" s="2">
        <v>0</v>
      </c>
      <c r="N469" s="311">
        <v>460</v>
      </c>
      <c r="O469" s="310" t="s">
        <v>120</v>
      </c>
      <c r="P469" s="309">
        <v>40</v>
      </c>
      <c r="Q469" s="60" t="s">
        <v>456</v>
      </c>
      <c r="R469" s="309">
        <v>5021</v>
      </c>
      <c r="S469" s="60" t="s">
        <v>201</v>
      </c>
      <c r="T469" s="61">
        <v>120</v>
      </c>
      <c r="U469" s="60" t="s">
        <v>382</v>
      </c>
      <c r="V469" s="1">
        <v>3</v>
      </c>
      <c r="W469" s="1" t="s">
        <v>37</v>
      </c>
      <c r="X469" s="1" t="s">
        <v>1390</v>
      </c>
      <c r="Y469" s="2">
        <v>11998.78</v>
      </c>
      <c r="Z469" s="2">
        <v>12962.43</v>
      </c>
      <c r="AA469" s="2">
        <v>5753.56</v>
      </c>
      <c r="AB469" s="2">
        <v>7132.44</v>
      </c>
      <c r="AC469" s="2">
        <v>14189.95</v>
      </c>
      <c r="AD469" s="2">
        <v>6168.01</v>
      </c>
      <c r="AE469" s="2">
        <v>14426.67</v>
      </c>
      <c r="AF469" s="2">
        <v>12383.17</v>
      </c>
      <c r="AG469" s="2">
        <v>6447.82</v>
      </c>
      <c r="AH469" s="2">
        <v>0</v>
      </c>
      <c r="AI469" s="2">
        <v>0</v>
      </c>
      <c r="AJ469" s="2">
        <v>0</v>
      </c>
      <c r="AK469" s="2">
        <v>0</v>
      </c>
      <c r="AL469" s="2">
        <v>0</v>
      </c>
      <c r="AM469" s="2">
        <v>0</v>
      </c>
      <c r="AN469" s="2">
        <v>0</v>
      </c>
      <c r="AO469" s="2">
        <v>0</v>
      </c>
      <c r="AP469" s="2">
        <v>0</v>
      </c>
      <c r="AQ469" s="2">
        <v>0</v>
      </c>
      <c r="AR469" s="2">
        <v>0</v>
      </c>
      <c r="AS469" s="2">
        <v>0</v>
      </c>
      <c r="AT469" s="2">
        <v>0</v>
      </c>
      <c r="AU469" s="2">
        <v>0</v>
      </c>
      <c r="AV469" s="2">
        <v>0</v>
      </c>
      <c r="AW469" s="1">
        <v>465</v>
      </c>
    </row>
    <row r="470" spans="1:49" ht="12.75">
      <c r="A470" s="5">
        <v>4610</v>
      </c>
      <c r="B470" s="2" t="s">
        <v>892</v>
      </c>
      <c r="C470" s="305">
        <v>4043.43</v>
      </c>
      <c r="D470" s="305">
        <v>0</v>
      </c>
      <c r="E470" s="305">
        <v>0</v>
      </c>
      <c r="F470" s="305">
        <v>26607.49</v>
      </c>
      <c r="G470" s="305">
        <v>0</v>
      </c>
      <c r="H470" s="305">
        <v>0</v>
      </c>
      <c r="I470" s="305">
        <v>0</v>
      </c>
      <c r="J470" s="1" t="s">
        <v>678</v>
      </c>
      <c r="K470" s="3" t="s">
        <v>982</v>
      </c>
      <c r="L470" s="365"/>
      <c r="M470" s="2">
        <v>26607.49</v>
      </c>
      <c r="N470" s="311">
        <v>460</v>
      </c>
      <c r="O470" s="310" t="s">
        <v>120</v>
      </c>
      <c r="P470" s="309">
        <v>40</v>
      </c>
      <c r="Q470" s="60" t="s">
        <v>456</v>
      </c>
      <c r="R470" s="309">
        <v>5019</v>
      </c>
      <c r="S470" s="60" t="s">
        <v>679</v>
      </c>
      <c r="T470" s="61">
        <v>120</v>
      </c>
      <c r="U470" s="60" t="s">
        <v>382</v>
      </c>
      <c r="V470" s="1">
        <v>3</v>
      </c>
      <c r="W470" s="1" t="s">
        <v>37</v>
      </c>
      <c r="X470" s="1" t="s">
        <v>1391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2">
        <v>0</v>
      </c>
      <c r="AK470" s="2">
        <v>1558</v>
      </c>
      <c r="AL470" s="2">
        <v>1402.03</v>
      </c>
      <c r="AM470" s="2">
        <v>1757.95</v>
      </c>
      <c r="AN470" s="2">
        <v>2096.18</v>
      </c>
      <c r="AO470" s="2">
        <v>2125.69</v>
      </c>
      <c r="AP470" s="2">
        <v>2727.41</v>
      </c>
      <c r="AQ470" s="2">
        <v>2835.39</v>
      </c>
      <c r="AR470" s="2">
        <v>2550.35</v>
      </c>
      <c r="AS470" s="2">
        <v>2010.41</v>
      </c>
      <c r="AT470" s="2">
        <v>0</v>
      </c>
      <c r="AU470" s="2">
        <v>3500.65</v>
      </c>
      <c r="AV470" s="2">
        <v>4043.43</v>
      </c>
      <c r="AW470" s="1">
        <v>466</v>
      </c>
    </row>
    <row r="471" spans="1:49" ht="12.75">
      <c r="A471" s="5">
        <v>4610</v>
      </c>
      <c r="B471" s="2" t="s">
        <v>893</v>
      </c>
      <c r="C471" s="305">
        <v>2030.01</v>
      </c>
      <c r="D471" s="305">
        <v>0</v>
      </c>
      <c r="E471" s="305">
        <v>0</v>
      </c>
      <c r="F471" s="305">
        <v>19783.08</v>
      </c>
      <c r="G471" s="305">
        <v>0</v>
      </c>
      <c r="H471" s="305">
        <v>0</v>
      </c>
      <c r="I471" s="305">
        <v>0</v>
      </c>
      <c r="J471" s="1" t="s">
        <v>681</v>
      </c>
      <c r="K471" s="3" t="s">
        <v>982</v>
      </c>
      <c r="L471" s="365"/>
      <c r="M471" s="2">
        <v>19783.08</v>
      </c>
      <c r="N471" s="311">
        <v>460</v>
      </c>
      <c r="O471" s="310" t="s">
        <v>120</v>
      </c>
      <c r="P471" s="309">
        <v>40</v>
      </c>
      <c r="Q471" s="60" t="s">
        <v>456</v>
      </c>
      <c r="R471" s="309">
        <v>5019</v>
      </c>
      <c r="S471" s="60" t="s">
        <v>679</v>
      </c>
      <c r="T471" s="61">
        <v>120</v>
      </c>
      <c r="U471" s="60" t="s">
        <v>382</v>
      </c>
      <c r="V471" s="1">
        <v>3</v>
      </c>
      <c r="W471" s="1" t="s">
        <v>37</v>
      </c>
      <c r="X471" s="1" t="s">
        <v>1391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0</v>
      </c>
      <c r="AE471" s="2">
        <v>0</v>
      </c>
      <c r="AF471" s="2">
        <v>0</v>
      </c>
      <c r="AG471" s="2">
        <v>0</v>
      </c>
      <c r="AH471" s="2">
        <v>0</v>
      </c>
      <c r="AI471" s="2">
        <v>0</v>
      </c>
      <c r="AJ471" s="2">
        <v>0</v>
      </c>
      <c r="AK471" s="2">
        <v>1821</v>
      </c>
      <c r="AL471" s="2">
        <v>1764.06</v>
      </c>
      <c r="AM471" s="2">
        <v>1839.62</v>
      </c>
      <c r="AN471" s="2">
        <v>1880.38</v>
      </c>
      <c r="AO471" s="2">
        <v>1792.07</v>
      </c>
      <c r="AP471" s="2">
        <v>1107.65</v>
      </c>
      <c r="AQ471" s="2">
        <v>1861.15</v>
      </c>
      <c r="AR471" s="2">
        <v>1728.47</v>
      </c>
      <c r="AS471" s="2">
        <v>2187.13</v>
      </c>
      <c r="AT471" s="2">
        <v>0</v>
      </c>
      <c r="AU471" s="2">
        <v>1771.54</v>
      </c>
      <c r="AV471" s="2">
        <v>2030.01</v>
      </c>
      <c r="AW471" s="1">
        <v>467</v>
      </c>
    </row>
    <row r="472" spans="1:49" ht="12.75">
      <c r="A472" s="5">
        <v>4610</v>
      </c>
      <c r="B472" s="2" t="s">
        <v>894</v>
      </c>
      <c r="C472" s="305">
        <v>0</v>
      </c>
      <c r="D472" s="305">
        <v>0</v>
      </c>
      <c r="E472" s="305">
        <v>0</v>
      </c>
      <c r="F472" s="305">
        <v>-25495.91</v>
      </c>
      <c r="G472" s="305">
        <v>0</v>
      </c>
      <c r="H472" s="305">
        <v>0</v>
      </c>
      <c r="I472" s="305">
        <v>0</v>
      </c>
      <c r="J472" s="1" t="s">
        <v>683</v>
      </c>
      <c r="K472" s="3" t="s">
        <v>982</v>
      </c>
      <c r="L472" s="365"/>
      <c r="M472" s="2">
        <v>-25495.91</v>
      </c>
      <c r="N472" s="311">
        <v>460</v>
      </c>
      <c r="O472" s="310" t="s">
        <v>120</v>
      </c>
      <c r="P472" s="309">
        <v>40</v>
      </c>
      <c r="Q472" s="60" t="s">
        <v>456</v>
      </c>
      <c r="R472" s="309">
        <v>5019</v>
      </c>
      <c r="S472" s="60" t="s">
        <v>679</v>
      </c>
      <c r="T472" s="61">
        <v>120</v>
      </c>
      <c r="U472" s="60" t="s">
        <v>382</v>
      </c>
      <c r="V472" s="1">
        <v>3</v>
      </c>
      <c r="W472" s="1" t="s">
        <v>37</v>
      </c>
      <c r="X472" s="1" t="s">
        <v>1391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0</v>
      </c>
      <c r="AH472" s="2">
        <v>0</v>
      </c>
      <c r="AI472" s="2">
        <v>0</v>
      </c>
      <c r="AJ472" s="2">
        <v>0</v>
      </c>
      <c r="AK472" s="2">
        <v>0</v>
      </c>
      <c r="AL472" s="2">
        <v>0</v>
      </c>
      <c r="AM472" s="2">
        <v>-7278.78</v>
      </c>
      <c r="AN472" s="2">
        <v>-5251.26</v>
      </c>
      <c r="AO472" s="2">
        <v>0</v>
      </c>
      <c r="AP472" s="2">
        <v>-7472.83</v>
      </c>
      <c r="AQ472" s="2">
        <v>0</v>
      </c>
      <c r="AR472" s="2">
        <v>0</v>
      </c>
      <c r="AS472" s="2">
        <v>-5493.04</v>
      </c>
      <c r="AT472" s="2">
        <v>0</v>
      </c>
      <c r="AU472" s="2">
        <v>0</v>
      </c>
      <c r="AV472" s="2">
        <v>0</v>
      </c>
      <c r="AW472" s="1">
        <v>468</v>
      </c>
    </row>
    <row r="473" spans="1:49" ht="12.75">
      <c r="A473" s="5">
        <v>4610</v>
      </c>
      <c r="B473" s="2" t="s">
        <v>895</v>
      </c>
      <c r="C473" s="305">
        <v>61.24</v>
      </c>
      <c r="D473" s="305">
        <v>0</v>
      </c>
      <c r="E473" s="305">
        <v>0</v>
      </c>
      <c r="F473" s="305">
        <v>1815.32</v>
      </c>
      <c r="G473" s="305">
        <v>0</v>
      </c>
      <c r="H473" s="305">
        <v>0</v>
      </c>
      <c r="I473" s="305">
        <v>0</v>
      </c>
      <c r="J473" s="1" t="s">
        <v>685</v>
      </c>
      <c r="K473" s="3" t="s">
        <v>982</v>
      </c>
      <c r="L473" s="365"/>
      <c r="M473" s="2">
        <v>1815.32</v>
      </c>
      <c r="N473" s="311">
        <v>460</v>
      </c>
      <c r="O473" s="310" t="s">
        <v>120</v>
      </c>
      <c r="P473" s="309">
        <v>40</v>
      </c>
      <c r="Q473" s="60" t="s">
        <v>456</v>
      </c>
      <c r="R473" s="309">
        <v>5019</v>
      </c>
      <c r="S473" s="60" t="s">
        <v>679</v>
      </c>
      <c r="T473" s="61">
        <v>120</v>
      </c>
      <c r="U473" s="60" t="s">
        <v>382</v>
      </c>
      <c r="V473" s="1">
        <v>3</v>
      </c>
      <c r="W473" s="1" t="s">
        <v>37</v>
      </c>
      <c r="X473" s="1" t="s">
        <v>1391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0</v>
      </c>
      <c r="AG473" s="2">
        <v>0</v>
      </c>
      <c r="AH473" s="2">
        <v>0</v>
      </c>
      <c r="AI473" s="2">
        <v>0</v>
      </c>
      <c r="AJ473" s="2">
        <v>0</v>
      </c>
      <c r="AK473" s="2">
        <v>229</v>
      </c>
      <c r="AL473" s="2">
        <v>0</v>
      </c>
      <c r="AM473" s="2">
        <v>314.95</v>
      </c>
      <c r="AN473" s="2">
        <v>0</v>
      </c>
      <c r="AO473" s="2">
        <v>563.67</v>
      </c>
      <c r="AP473" s="2">
        <v>265.92</v>
      </c>
      <c r="AQ473" s="2">
        <v>38.19</v>
      </c>
      <c r="AR473" s="2">
        <v>152.63</v>
      </c>
      <c r="AS473" s="2">
        <v>189.72</v>
      </c>
      <c r="AT473" s="2">
        <v>0</v>
      </c>
      <c r="AU473" s="2">
        <v>0</v>
      </c>
      <c r="AV473" s="2">
        <v>61.24</v>
      </c>
      <c r="AW473" s="1">
        <v>469</v>
      </c>
    </row>
    <row r="474" spans="1:49" ht="12.75">
      <c r="A474" s="5">
        <v>4610</v>
      </c>
      <c r="B474" s="2" t="s">
        <v>896</v>
      </c>
      <c r="C474" s="305">
        <v>385.01</v>
      </c>
      <c r="D474" s="305">
        <v>0</v>
      </c>
      <c r="E474" s="305">
        <v>0</v>
      </c>
      <c r="F474" s="305">
        <v>3076.32</v>
      </c>
      <c r="G474" s="305">
        <v>0</v>
      </c>
      <c r="H474" s="305">
        <v>0</v>
      </c>
      <c r="I474" s="305">
        <v>0</v>
      </c>
      <c r="J474" s="1" t="s">
        <v>687</v>
      </c>
      <c r="K474" s="3" t="s">
        <v>982</v>
      </c>
      <c r="L474" s="365"/>
      <c r="M474" s="2">
        <v>3076.32</v>
      </c>
      <c r="N474" s="311">
        <v>460</v>
      </c>
      <c r="O474" s="310" t="s">
        <v>120</v>
      </c>
      <c r="P474" s="309">
        <v>40</v>
      </c>
      <c r="Q474" s="60" t="s">
        <v>456</v>
      </c>
      <c r="R474" s="309">
        <v>5019</v>
      </c>
      <c r="S474" s="60" t="s">
        <v>679</v>
      </c>
      <c r="T474" s="61">
        <v>120</v>
      </c>
      <c r="U474" s="60" t="s">
        <v>382</v>
      </c>
      <c r="V474" s="1">
        <v>3</v>
      </c>
      <c r="W474" s="1" t="s">
        <v>37</v>
      </c>
      <c r="X474" s="1" t="s">
        <v>1391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2">
        <v>0</v>
      </c>
      <c r="AK474" s="2">
        <v>198</v>
      </c>
      <c r="AL474" s="2">
        <v>0</v>
      </c>
      <c r="AM474" s="2">
        <v>113.64</v>
      </c>
      <c r="AN474" s="2">
        <v>482.34</v>
      </c>
      <c r="AO474" s="2">
        <v>511.02</v>
      </c>
      <c r="AP474" s="2">
        <v>223.62</v>
      </c>
      <c r="AQ474" s="2">
        <v>95.84</v>
      </c>
      <c r="AR474" s="2">
        <v>388.9</v>
      </c>
      <c r="AS474" s="2">
        <v>453.66</v>
      </c>
      <c r="AT474" s="2">
        <v>0</v>
      </c>
      <c r="AU474" s="2">
        <v>224.29</v>
      </c>
      <c r="AV474" s="2">
        <v>385.01</v>
      </c>
      <c r="AW474" s="1">
        <v>470</v>
      </c>
    </row>
    <row r="475" spans="1:49" ht="12.75">
      <c r="A475" s="5">
        <v>4610</v>
      </c>
      <c r="B475" s="2" t="s">
        <v>897</v>
      </c>
      <c r="C475" s="305">
        <v>6026.48</v>
      </c>
      <c r="D475" s="305">
        <v>0</v>
      </c>
      <c r="E475" s="305">
        <v>0</v>
      </c>
      <c r="F475" s="305">
        <v>60821.82</v>
      </c>
      <c r="G475" s="305">
        <v>0</v>
      </c>
      <c r="H475" s="305">
        <v>0</v>
      </c>
      <c r="I475" s="305">
        <v>0</v>
      </c>
      <c r="J475" s="1" t="s">
        <v>689</v>
      </c>
      <c r="K475" s="3" t="s">
        <v>982</v>
      </c>
      <c r="L475" s="365"/>
      <c r="M475" s="2">
        <v>60821.82</v>
      </c>
      <c r="N475" s="311">
        <v>460</v>
      </c>
      <c r="O475" s="310" t="s">
        <v>120</v>
      </c>
      <c r="P475" s="309">
        <v>40</v>
      </c>
      <c r="Q475" s="60" t="s">
        <v>456</v>
      </c>
      <c r="R475" s="309">
        <v>5019</v>
      </c>
      <c r="S475" s="60" t="s">
        <v>679</v>
      </c>
      <c r="T475" s="61">
        <v>120</v>
      </c>
      <c r="U475" s="60" t="s">
        <v>382</v>
      </c>
      <c r="V475" s="1">
        <v>3</v>
      </c>
      <c r="W475" s="1" t="s">
        <v>37</v>
      </c>
      <c r="X475" s="1" t="s">
        <v>1391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2">
        <v>0</v>
      </c>
      <c r="AK475" s="2">
        <v>5713</v>
      </c>
      <c r="AL475" s="2">
        <v>5420.74</v>
      </c>
      <c r="AM475" s="2">
        <v>5313.56</v>
      </c>
      <c r="AN475" s="2">
        <v>4685.43</v>
      </c>
      <c r="AO475" s="2">
        <v>4873.09</v>
      </c>
      <c r="AP475" s="2">
        <v>4408.71</v>
      </c>
      <c r="AQ475" s="2">
        <v>6739.89</v>
      </c>
      <c r="AR475" s="2">
        <v>5670.92</v>
      </c>
      <c r="AS475" s="2">
        <v>5425.16</v>
      </c>
      <c r="AT475" s="2">
        <v>0</v>
      </c>
      <c r="AU475" s="2">
        <v>6544.84</v>
      </c>
      <c r="AV475" s="2">
        <v>6026.48</v>
      </c>
      <c r="AW475" s="1">
        <v>471</v>
      </c>
    </row>
    <row r="476" spans="1:49" ht="12.75">
      <c r="A476" s="5">
        <v>4610</v>
      </c>
      <c r="B476" s="2" t="s">
        <v>898</v>
      </c>
      <c r="C476" s="305">
        <v>0</v>
      </c>
      <c r="D476" s="305">
        <v>0</v>
      </c>
      <c r="E476" s="305">
        <v>359.68</v>
      </c>
      <c r="F476" s="305">
        <v>0</v>
      </c>
      <c r="G476" s="305">
        <v>0</v>
      </c>
      <c r="H476" s="305">
        <v>919.17</v>
      </c>
      <c r="I476" s="305">
        <v>0</v>
      </c>
      <c r="J476" s="1" t="s">
        <v>693</v>
      </c>
      <c r="K476" s="3" t="s">
        <v>982</v>
      </c>
      <c r="L476" s="365"/>
      <c r="M476" s="2">
        <v>0</v>
      </c>
      <c r="N476" s="311">
        <v>460</v>
      </c>
      <c r="O476" s="310" t="s">
        <v>120</v>
      </c>
      <c r="P476" s="309">
        <v>40</v>
      </c>
      <c r="Q476" s="60" t="s">
        <v>456</v>
      </c>
      <c r="R476" s="309">
        <v>5019</v>
      </c>
      <c r="S476" s="60" t="s">
        <v>679</v>
      </c>
      <c r="T476" s="61">
        <v>120</v>
      </c>
      <c r="U476" s="60" t="s">
        <v>382</v>
      </c>
      <c r="V476" s="1">
        <v>3</v>
      </c>
      <c r="W476" s="1" t="s">
        <v>37</v>
      </c>
      <c r="X476" s="1" t="s">
        <v>1391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0</v>
      </c>
      <c r="AE476" s="2">
        <v>0</v>
      </c>
      <c r="AF476" s="2">
        <v>0</v>
      </c>
      <c r="AG476" s="2">
        <v>0</v>
      </c>
      <c r="AH476" s="2">
        <v>239.78</v>
      </c>
      <c r="AI476" s="2">
        <v>319.71</v>
      </c>
      <c r="AJ476" s="2">
        <v>359.68</v>
      </c>
      <c r="AK476" s="2">
        <v>0</v>
      </c>
      <c r="AL476" s="2">
        <v>0</v>
      </c>
      <c r="AM476" s="2">
        <v>0</v>
      </c>
      <c r="AN476" s="2">
        <v>0</v>
      </c>
      <c r="AO476" s="2">
        <v>0</v>
      </c>
      <c r="AP476" s="2">
        <v>0</v>
      </c>
      <c r="AQ476" s="2">
        <v>0</v>
      </c>
      <c r="AR476" s="2">
        <v>0</v>
      </c>
      <c r="AS476" s="2">
        <v>0</v>
      </c>
      <c r="AT476" s="2">
        <v>0</v>
      </c>
      <c r="AU476" s="2">
        <v>0</v>
      </c>
      <c r="AV476" s="2">
        <v>0</v>
      </c>
      <c r="AW476" s="1">
        <v>472</v>
      </c>
    </row>
    <row r="477" spans="1:49" ht="12.75">
      <c r="A477" s="5">
        <v>4610</v>
      </c>
      <c r="B477" s="2" t="s">
        <v>899</v>
      </c>
      <c r="C477" s="305">
        <v>0</v>
      </c>
      <c r="D477" s="305">
        <v>0</v>
      </c>
      <c r="E477" s="305">
        <v>11055.1</v>
      </c>
      <c r="F477" s="305">
        <v>0</v>
      </c>
      <c r="G477" s="305">
        <v>0</v>
      </c>
      <c r="H477" s="305">
        <v>37298.76</v>
      </c>
      <c r="I477" s="305">
        <v>0</v>
      </c>
      <c r="J477" s="1" t="s">
        <v>695</v>
      </c>
      <c r="K477" s="3" t="s">
        <v>982</v>
      </c>
      <c r="L477" s="365"/>
      <c r="M477" s="2">
        <v>0</v>
      </c>
      <c r="N477" s="311">
        <v>460</v>
      </c>
      <c r="O477" s="310" t="s">
        <v>120</v>
      </c>
      <c r="P477" s="309">
        <v>40</v>
      </c>
      <c r="Q477" s="60" t="s">
        <v>456</v>
      </c>
      <c r="R477" s="309">
        <v>5019</v>
      </c>
      <c r="S477" s="60" t="s">
        <v>679</v>
      </c>
      <c r="T477" s="61">
        <v>120</v>
      </c>
      <c r="U477" s="60" t="s">
        <v>382</v>
      </c>
      <c r="V477" s="1">
        <v>3</v>
      </c>
      <c r="W477" s="1" t="s">
        <v>37</v>
      </c>
      <c r="X477" s="1" t="s">
        <v>1391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0</v>
      </c>
      <c r="AH477" s="2">
        <v>14371.82</v>
      </c>
      <c r="AI477" s="2">
        <v>11871.84</v>
      </c>
      <c r="AJ477" s="2">
        <v>11055.1</v>
      </c>
      <c r="AK477" s="2">
        <v>0</v>
      </c>
      <c r="AL477" s="2">
        <v>0</v>
      </c>
      <c r="AM477" s="2">
        <v>0</v>
      </c>
      <c r="AN477" s="2">
        <v>0</v>
      </c>
      <c r="AO477" s="2">
        <v>0</v>
      </c>
      <c r="AP477" s="2">
        <v>0</v>
      </c>
      <c r="AQ477" s="2">
        <v>0</v>
      </c>
      <c r="AR477" s="2">
        <v>0</v>
      </c>
      <c r="AS477" s="2">
        <v>0</v>
      </c>
      <c r="AT477" s="2">
        <v>0</v>
      </c>
      <c r="AU477" s="2">
        <v>0</v>
      </c>
      <c r="AV477" s="2">
        <v>0</v>
      </c>
      <c r="AW477" s="1">
        <v>473</v>
      </c>
    </row>
    <row r="478" spans="1:49" ht="12.75">
      <c r="A478" s="5">
        <v>4610</v>
      </c>
      <c r="B478" s="2" t="s">
        <v>1392</v>
      </c>
      <c r="C478" s="305">
        <v>0</v>
      </c>
      <c r="D478" s="305">
        <v>0</v>
      </c>
      <c r="E478" s="305">
        <v>303.34</v>
      </c>
      <c r="F478" s="305">
        <v>0</v>
      </c>
      <c r="G478" s="305">
        <v>0</v>
      </c>
      <c r="H478" s="305">
        <v>303.34</v>
      </c>
      <c r="I478" s="305">
        <v>0</v>
      </c>
      <c r="J478" s="1" t="s">
        <v>697</v>
      </c>
      <c r="K478" s="3" t="s">
        <v>982</v>
      </c>
      <c r="L478" s="365"/>
      <c r="M478" s="2">
        <v>0</v>
      </c>
      <c r="N478" s="311">
        <v>460</v>
      </c>
      <c r="O478" s="310" t="s">
        <v>120</v>
      </c>
      <c r="P478" s="309">
        <v>40</v>
      </c>
      <c r="Q478" s="60" t="s">
        <v>456</v>
      </c>
      <c r="R478" s="309">
        <v>5021</v>
      </c>
      <c r="S478" s="60" t="s">
        <v>201</v>
      </c>
      <c r="T478" s="61">
        <v>130</v>
      </c>
      <c r="U478" s="60" t="s">
        <v>502</v>
      </c>
      <c r="V478" s="1">
        <v>3</v>
      </c>
      <c r="W478" s="1" t="s">
        <v>37</v>
      </c>
      <c r="X478" s="1" t="s">
        <v>1393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303.34</v>
      </c>
      <c r="AK478" s="2">
        <v>0</v>
      </c>
      <c r="AL478" s="2">
        <v>0</v>
      </c>
      <c r="AM478" s="2">
        <v>0</v>
      </c>
      <c r="AN478" s="2">
        <v>0</v>
      </c>
      <c r="AO478" s="2">
        <v>0</v>
      </c>
      <c r="AP478" s="2">
        <v>0</v>
      </c>
      <c r="AQ478" s="2">
        <v>0</v>
      </c>
      <c r="AR478" s="2">
        <v>0</v>
      </c>
      <c r="AS478" s="2">
        <v>0</v>
      </c>
      <c r="AT478" s="2">
        <v>0</v>
      </c>
      <c r="AU478" s="2">
        <v>0</v>
      </c>
      <c r="AV478" s="2">
        <v>0</v>
      </c>
      <c r="AW478" s="1">
        <v>474</v>
      </c>
    </row>
    <row r="479" spans="1:49" ht="12.75">
      <c r="A479" s="5">
        <v>4610</v>
      </c>
      <c r="B479" s="2" t="s">
        <v>900</v>
      </c>
      <c r="C479" s="305">
        <v>0</v>
      </c>
      <c r="D479" s="305">
        <v>0</v>
      </c>
      <c r="E479" s="305">
        <v>0</v>
      </c>
      <c r="F479" s="305">
        <v>1174.92</v>
      </c>
      <c r="G479" s="305">
        <v>0</v>
      </c>
      <c r="H479" s="305">
        <v>0</v>
      </c>
      <c r="I479" s="305">
        <v>0</v>
      </c>
      <c r="J479" s="1" t="s">
        <v>724</v>
      </c>
      <c r="K479" s="3" t="s">
        <v>982</v>
      </c>
      <c r="L479" s="365"/>
      <c r="M479" s="2">
        <v>1174.92</v>
      </c>
      <c r="N479" s="311">
        <v>460</v>
      </c>
      <c r="O479" s="310" t="s">
        <v>120</v>
      </c>
      <c r="P479" s="309">
        <v>40</v>
      </c>
      <c r="Q479" s="60" t="s">
        <v>456</v>
      </c>
      <c r="R479" s="309">
        <v>5027</v>
      </c>
      <c r="S479" s="60" t="s">
        <v>206</v>
      </c>
      <c r="T479" s="61">
        <v>160</v>
      </c>
      <c r="U479" s="60" t="s">
        <v>716</v>
      </c>
      <c r="V479" s="1">
        <v>3</v>
      </c>
      <c r="W479" s="1" t="s">
        <v>37</v>
      </c>
      <c r="X479" s="1" t="s">
        <v>1394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2">
        <v>0</v>
      </c>
      <c r="AK479" s="2">
        <v>0</v>
      </c>
      <c r="AL479" s="2">
        <v>0</v>
      </c>
      <c r="AM479" s="2">
        <v>0</v>
      </c>
      <c r="AN479" s="2">
        <v>584.36</v>
      </c>
      <c r="AO479" s="2">
        <v>194.58</v>
      </c>
      <c r="AP479" s="2">
        <v>395.98</v>
      </c>
      <c r="AQ479" s="2">
        <v>0</v>
      </c>
      <c r="AR479" s="2">
        <v>0</v>
      </c>
      <c r="AS479" s="2">
        <v>0</v>
      </c>
      <c r="AT479" s="2">
        <v>0</v>
      </c>
      <c r="AU479" s="2">
        <v>0</v>
      </c>
      <c r="AV479" s="2">
        <v>0</v>
      </c>
      <c r="AW479" s="1">
        <v>475</v>
      </c>
    </row>
    <row r="480" spans="1:49" ht="12.75">
      <c r="A480" s="5">
        <v>4610</v>
      </c>
      <c r="B480" s="2" t="s">
        <v>369</v>
      </c>
      <c r="C480" s="305">
        <v>0</v>
      </c>
      <c r="D480" s="305">
        <v>0</v>
      </c>
      <c r="E480" s="305">
        <v>0</v>
      </c>
      <c r="F480" s="305">
        <v>0</v>
      </c>
      <c r="G480" s="305">
        <v>0</v>
      </c>
      <c r="H480" s="305">
        <v>1808.05</v>
      </c>
      <c r="I480" s="305">
        <v>0</v>
      </c>
      <c r="J480" s="1" t="s">
        <v>807</v>
      </c>
      <c r="K480" s="3" t="s">
        <v>982</v>
      </c>
      <c r="L480" s="365"/>
      <c r="M480" s="2">
        <v>0</v>
      </c>
      <c r="N480" s="311">
        <v>460</v>
      </c>
      <c r="O480" s="310" t="s">
        <v>120</v>
      </c>
      <c r="P480" s="309">
        <v>40</v>
      </c>
      <c r="Q480" s="60" t="s">
        <v>456</v>
      </c>
      <c r="R480" s="309">
        <v>5027</v>
      </c>
      <c r="S480" s="60" t="s">
        <v>206</v>
      </c>
      <c r="T480" s="61">
        <v>160</v>
      </c>
      <c r="U480" s="60" t="s">
        <v>716</v>
      </c>
      <c r="V480" s="1">
        <v>3</v>
      </c>
      <c r="W480" s="1" t="s">
        <v>37</v>
      </c>
      <c r="X480" s="1" t="s">
        <v>1394</v>
      </c>
      <c r="Y480" s="2">
        <v>140.22</v>
      </c>
      <c r="Z480" s="2">
        <v>0</v>
      </c>
      <c r="AA480" s="2">
        <v>133.28</v>
      </c>
      <c r="AB480" s="2">
        <v>311.6</v>
      </c>
      <c r="AC480" s="2">
        <v>140.22</v>
      </c>
      <c r="AD480" s="2">
        <v>282.37</v>
      </c>
      <c r="AE480" s="2">
        <v>0</v>
      </c>
      <c r="AF480" s="2">
        <v>600.54</v>
      </c>
      <c r="AG480" s="2">
        <v>199.82</v>
      </c>
      <c r="AH480" s="2">
        <v>0</v>
      </c>
      <c r="AI480" s="2">
        <v>0</v>
      </c>
      <c r="AJ480" s="2">
        <v>0</v>
      </c>
      <c r="AK480" s="2">
        <v>0</v>
      </c>
      <c r="AL480" s="2">
        <v>0</v>
      </c>
      <c r="AM480" s="2">
        <v>0</v>
      </c>
      <c r="AN480" s="2">
        <v>0</v>
      </c>
      <c r="AO480" s="2">
        <v>0</v>
      </c>
      <c r="AP480" s="2">
        <v>0</v>
      </c>
      <c r="AQ480" s="2">
        <v>0</v>
      </c>
      <c r="AR480" s="2">
        <v>0</v>
      </c>
      <c r="AS480" s="2">
        <v>0</v>
      </c>
      <c r="AT480" s="2">
        <v>0</v>
      </c>
      <c r="AU480" s="2">
        <v>0</v>
      </c>
      <c r="AV480" s="2">
        <v>0</v>
      </c>
      <c r="AW480" s="1">
        <v>476</v>
      </c>
    </row>
    <row r="481" spans="1:49" ht="12.75">
      <c r="A481" s="5">
        <v>4610</v>
      </c>
      <c r="B481" s="2" t="s">
        <v>306</v>
      </c>
      <c r="C481" s="305">
        <v>0</v>
      </c>
      <c r="D481" s="305">
        <v>0</v>
      </c>
      <c r="E481" s="305">
        <v>0</v>
      </c>
      <c r="F481" s="305">
        <v>0</v>
      </c>
      <c r="G481" s="305">
        <v>0</v>
      </c>
      <c r="H481" s="305">
        <v>239.9</v>
      </c>
      <c r="I481" s="305">
        <v>0</v>
      </c>
      <c r="J481" s="1" t="s">
        <v>814</v>
      </c>
      <c r="K481" s="3" t="s">
        <v>982</v>
      </c>
      <c r="L481" s="365"/>
      <c r="M481" s="2">
        <v>0</v>
      </c>
      <c r="N481" s="311">
        <v>460</v>
      </c>
      <c r="O481" s="310" t="s">
        <v>120</v>
      </c>
      <c r="P481" s="309">
        <v>40</v>
      </c>
      <c r="Q481" s="60" t="s">
        <v>456</v>
      </c>
      <c r="R481" s="309">
        <v>5029</v>
      </c>
      <c r="S481" s="60" t="s">
        <v>208</v>
      </c>
      <c r="T481" s="61">
        <v>170</v>
      </c>
      <c r="U481" s="60" t="s">
        <v>501</v>
      </c>
      <c r="V481" s="1">
        <v>3</v>
      </c>
      <c r="W481" s="1" t="s">
        <v>37</v>
      </c>
      <c r="X481" s="1" t="s">
        <v>1395</v>
      </c>
      <c r="Y481" s="2">
        <v>239.9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2">
        <v>0</v>
      </c>
      <c r="AK481" s="2">
        <v>0</v>
      </c>
      <c r="AL481" s="2">
        <v>0</v>
      </c>
      <c r="AM481" s="2">
        <v>0</v>
      </c>
      <c r="AN481" s="2">
        <v>0</v>
      </c>
      <c r="AO481" s="2">
        <v>0</v>
      </c>
      <c r="AP481" s="2">
        <v>0</v>
      </c>
      <c r="AQ481" s="2">
        <v>0</v>
      </c>
      <c r="AR481" s="2">
        <v>0</v>
      </c>
      <c r="AS481" s="2">
        <v>0</v>
      </c>
      <c r="AT481" s="2">
        <v>0</v>
      </c>
      <c r="AU481" s="2">
        <v>0</v>
      </c>
      <c r="AV481" s="2">
        <v>0</v>
      </c>
      <c r="AW481" s="1">
        <v>477</v>
      </c>
    </row>
    <row r="482" spans="1:49" ht="12.75">
      <c r="A482" s="5">
        <v>4610</v>
      </c>
      <c r="B482" s="2" t="s">
        <v>419</v>
      </c>
      <c r="C482" s="305">
        <v>0</v>
      </c>
      <c r="D482" s="305">
        <v>0</v>
      </c>
      <c r="E482" s="305">
        <v>0</v>
      </c>
      <c r="F482" s="305">
        <v>0</v>
      </c>
      <c r="G482" s="305">
        <v>0</v>
      </c>
      <c r="H482" s="305">
        <v>169.42</v>
      </c>
      <c r="I482" s="305">
        <v>0</v>
      </c>
      <c r="J482" s="1" t="s">
        <v>818</v>
      </c>
      <c r="K482" s="3" t="s">
        <v>982</v>
      </c>
      <c r="L482" s="365"/>
      <c r="M482" s="2">
        <v>0</v>
      </c>
      <c r="N482" s="311">
        <v>460</v>
      </c>
      <c r="O482" s="310" t="s">
        <v>120</v>
      </c>
      <c r="P482" s="309">
        <v>40</v>
      </c>
      <c r="Q482" s="60" t="s">
        <v>456</v>
      </c>
      <c r="R482" s="309">
        <v>5029</v>
      </c>
      <c r="S482" s="60" t="s">
        <v>208</v>
      </c>
      <c r="T482" s="61">
        <v>170</v>
      </c>
      <c r="U482" s="60" t="s">
        <v>501</v>
      </c>
      <c r="V482" s="1">
        <v>3</v>
      </c>
      <c r="W482" s="1" t="s">
        <v>37</v>
      </c>
      <c r="X482" s="1" t="s">
        <v>1396</v>
      </c>
      <c r="Y482" s="2">
        <v>169.42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0</v>
      </c>
      <c r="AN482" s="2">
        <v>0</v>
      </c>
      <c r="AO482" s="2">
        <v>0</v>
      </c>
      <c r="AP482" s="2">
        <v>0</v>
      </c>
      <c r="AQ482" s="2">
        <v>0</v>
      </c>
      <c r="AR482" s="2">
        <v>0</v>
      </c>
      <c r="AS482" s="2">
        <v>0</v>
      </c>
      <c r="AT482" s="2">
        <v>0</v>
      </c>
      <c r="AU482" s="2">
        <v>0</v>
      </c>
      <c r="AV482" s="2">
        <v>0</v>
      </c>
      <c r="AW482" s="1">
        <v>478</v>
      </c>
    </row>
    <row r="483" spans="1:49" ht="12.75">
      <c r="A483" s="5">
        <v>5010</v>
      </c>
      <c r="B483" s="2" t="s">
        <v>0</v>
      </c>
      <c r="C483" s="305">
        <v>0</v>
      </c>
      <c r="D483" s="305">
        <v>0</v>
      </c>
      <c r="E483" s="305">
        <v>0</v>
      </c>
      <c r="F483" s="305">
        <v>12906.41</v>
      </c>
      <c r="G483" s="305">
        <v>0</v>
      </c>
      <c r="H483" s="305">
        <v>97905.5</v>
      </c>
      <c r="I483" s="305">
        <v>0</v>
      </c>
      <c r="K483" s="3" t="s">
        <v>23</v>
      </c>
      <c r="L483" s="365"/>
      <c r="M483" s="2">
        <v>12906.41</v>
      </c>
      <c r="N483" s="311">
        <v>501</v>
      </c>
      <c r="O483" s="310" t="s">
        <v>121</v>
      </c>
      <c r="V483" s="1">
        <v>0</v>
      </c>
      <c r="W483" s="1" t="s">
        <v>26</v>
      </c>
      <c r="X483" s="1" t="s">
        <v>1397</v>
      </c>
      <c r="Y483" s="2">
        <v>0</v>
      </c>
      <c r="Z483" s="2">
        <v>15099.5</v>
      </c>
      <c r="AA483" s="2">
        <v>17235</v>
      </c>
      <c r="AB483" s="2">
        <v>27685.5</v>
      </c>
      <c r="AC483" s="2">
        <v>23826.5</v>
      </c>
      <c r="AD483" s="2">
        <v>14059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2">
        <v>0</v>
      </c>
      <c r="AK483" s="2">
        <v>0</v>
      </c>
      <c r="AL483" s="2">
        <v>0</v>
      </c>
      <c r="AM483" s="2">
        <v>0</v>
      </c>
      <c r="AN483" s="2">
        <v>0</v>
      </c>
      <c r="AO483" s="2">
        <v>7457.95</v>
      </c>
      <c r="AP483" s="2">
        <v>4066.66</v>
      </c>
      <c r="AQ483" s="2">
        <v>1381.8</v>
      </c>
      <c r="AR483" s="2">
        <v>0</v>
      </c>
      <c r="AS483" s="2">
        <v>0</v>
      </c>
      <c r="AT483" s="2">
        <v>0</v>
      </c>
      <c r="AU483" s="2">
        <v>0</v>
      </c>
      <c r="AV483" s="2">
        <v>0</v>
      </c>
      <c r="AW483" s="1">
        <v>479</v>
      </c>
    </row>
    <row r="484" spans="1:49" ht="12.75">
      <c r="A484" s="5">
        <v>5010</v>
      </c>
      <c r="B484" s="2" t="s">
        <v>0</v>
      </c>
      <c r="C484" s="305">
        <v>229169</v>
      </c>
      <c r="D484" s="305">
        <v>0</v>
      </c>
      <c r="E484" s="305">
        <v>210190.5</v>
      </c>
      <c r="F484" s="305">
        <v>2487296.38</v>
      </c>
      <c r="G484" s="305">
        <v>0</v>
      </c>
      <c r="H484" s="305">
        <v>2611577.63</v>
      </c>
      <c r="I484" s="305">
        <v>0</v>
      </c>
      <c r="K484" s="3" t="s">
        <v>982</v>
      </c>
      <c r="L484" s="365"/>
      <c r="M484" s="2">
        <v>2487296.38</v>
      </c>
      <c r="N484" s="311">
        <v>501</v>
      </c>
      <c r="O484" s="310" t="s">
        <v>121</v>
      </c>
      <c r="V484" s="1">
        <v>0</v>
      </c>
      <c r="W484" s="1" t="s">
        <v>26</v>
      </c>
      <c r="X484" s="1" t="s">
        <v>1398</v>
      </c>
      <c r="Y484" s="2">
        <v>237264.5</v>
      </c>
      <c r="Z484" s="2">
        <v>203147.3</v>
      </c>
      <c r="AA484" s="2">
        <v>185278.53</v>
      </c>
      <c r="AB484" s="2">
        <v>217373</v>
      </c>
      <c r="AC484" s="2">
        <v>234855.5</v>
      </c>
      <c r="AD484" s="2">
        <v>228977.5</v>
      </c>
      <c r="AE484" s="2">
        <v>225616</v>
      </c>
      <c r="AF484" s="2">
        <v>222022.46</v>
      </c>
      <c r="AG484" s="2">
        <v>223861.08</v>
      </c>
      <c r="AH484" s="2">
        <v>210171.38</v>
      </c>
      <c r="AI484" s="2">
        <v>212819.88</v>
      </c>
      <c r="AJ484" s="2">
        <v>210190.5</v>
      </c>
      <c r="AK484" s="2">
        <v>201277.4</v>
      </c>
      <c r="AL484" s="2">
        <v>198703.5</v>
      </c>
      <c r="AM484" s="2">
        <v>184615.69</v>
      </c>
      <c r="AN484" s="2">
        <v>221079.5</v>
      </c>
      <c r="AO484" s="2">
        <v>210062.5</v>
      </c>
      <c r="AP484" s="2">
        <v>228167.38</v>
      </c>
      <c r="AQ484" s="2">
        <v>193941.69</v>
      </c>
      <c r="AR484" s="2">
        <v>189584.29</v>
      </c>
      <c r="AS484" s="2">
        <v>202142.38</v>
      </c>
      <c r="AT484" s="2">
        <v>198131.1</v>
      </c>
      <c r="AU484" s="2">
        <v>230421.95</v>
      </c>
      <c r="AV484" s="2">
        <v>229169</v>
      </c>
      <c r="AW484" s="1">
        <v>480</v>
      </c>
    </row>
    <row r="485" spans="1:49" ht="12.75">
      <c r="A485" s="5">
        <v>5090</v>
      </c>
      <c r="B485" s="2" t="s">
        <v>109</v>
      </c>
      <c r="C485" s="305">
        <v>27500.28</v>
      </c>
      <c r="D485" s="305">
        <v>0</v>
      </c>
      <c r="E485" s="305">
        <v>25222.86</v>
      </c>
      <c r="F485" s="305">
        <v>300024.33</v>
      </c>
      <c r="G485" s="305">
        <v>0</v>
      </c>
      <c r="H485" s="305">
        <v>325137.99</v>
      </c>
      <c r="I485" s="305">
        <v>0</v>
      </c>
      <c r="K485" s="3" t="s">
        <v>982</v>
      </c>
      <c r="L485" s="365"/>
      <c r="M485" s="2">
        <v>300024.33</v>
      </c>
      <c r="N485" s="311">
        <v>508</v>
      </c>
      <c r="O485" s="310" t="s">
        <v>107</v>
      </c>
      <c r="V485" s="1">
        <v>0</v>
      </c>
      <c r="W485" s="1" t="s">
        <v>26</v>
      </c>
      <c r="X485" s="1" t="s">
        <v>1399</v>
      </c>
      <c r="Y485" s="2">
        <v>28471.74</v>
      </c>
      <c r="Z485" s="2">
        <v>26189.62</v>
      </c>
      <c r="AA485" s="2">
        <v>24301.62</v>
      </c>
      <c r="AB485" s="2">
        <v>29407.02</v>
      </c>
      <c r="AC485" s="2">
        <v>31041.84</v>
      </c>
      <c r="AD485" s="2">
        <v>29164.38</v>
      </c>
      <c r="AE485" s="2">
        <v>27073.92</v>
      </c>
      <c r="AF485" s="2">
        <v>26642.7</v>
      </c>
      <c r="AG485" s="2">
        <v>26863.33</v>
      </c>
      <c r="AH485" s="2">
        <v>25220.57</v>
      </c>
      <c r="AI485" s="2">
        <v>25538.39</v>
      </c>
      <c r="AJ485" s="2">
        <v>25222.86</v>
      </c>
      <c r="AK485" s="2">
        <v>24153.29</v>
      </c>
      <c r="AL485" s="2">
        <v>23844.42</v>
      </c>
      <c r="AM485" s="2">
        <v>22153.88</v>
      </c>
      <c r="AN485" s="2">
        <v>26529.54</v>
      </c>
      <c r="AO485" s="2">
        <v>26102.45</v>
      </c>
      <c r="AP485" s="2">
        <v>27868.09</v>
      </c>
      <c r="AQ485" s="2">
        <v>23438.82</v>
      </c>
      <c r="AR485" s="2">
        <v>22750.11</v>
      </c>
      <c r="AS485" s="2">
        <v>24257.09</v>
      </c>
      <c r="AT485" s="2">
        <v>23775.73</v>
      </c>
      <c r="AU485" s="2">
        <v>27650.63</v>
      </c>
      <c r="AV485" s="2">
        <v>27500.28</v>
      </c>
      <c r="AW485" s="1">
        <v>481</v>
      </c>
    </row>
    <row r="486" spans="1:49" ht="12.75">
      <c r="A486" s="5">
        <v>5252</v>
      </c>
      <c r="B486" s="2" t="s">
        <v>420</v>
      </c>
      <c r="C486" s="305">
        <v>3686</v>
      </c>
      <c r="D486" s="305">
        <v>0</v>
      </c>
      <c r="E486" s="305">
        <v>2860</v>
      </c>
      <c r="F486" s="305">
        <v>43577</v>
      </c>
      <c r="G486" s="305">
        <v>0</v>
      </c>
      <c r="H486" s="305">
        <v>38546</v>
      </c>
      <c r="I486" s="305">
        <v>0</v>
      </c>
      <c r="K486" s="3" t="s">
        <v>982</v>
      </c>
      <c r="L486" s="365"/>
      <c r="M486" s="2">
        <v>43577</v>
      </c>
      <c r="N486" s="311">
        <v>590</v>
      </c>
      <c r="O486" s="310" t="s">
        <v>108</v>
      </c>
      <c r="V486" s="1">
        <v>0</v>
      </c>
      <c r="W486" s="1" t="s">
        <v>26</v>
      </c>
      <c r="X486" s="1" t="s">
        <v>1400</v>
      </c>
      <c r="Y486" s="2">
        <v>6920</v>
      </c>
      <c r="Z486" s="2">
        <v>0</v>
      </c>
      <c r="AA486" s="2">
        <v>3004</v>
      </c>
      <c r="AB486" s="2">
        <v>3008</v>
      </c>
      <c r="AC486" s="2">
        <v>3009</v>
      </c>
      <c r="AD486" s="2">
        <v>3013</v>
      </c>
      <c r="AE486" s="2">
        <v>3019</v>
      </c>
      <c r="AF486" s="2">
        <v>5143</v>
      </c>
      <c r="AG486" s="2">
        <v>2854</v>
      </c>
      <c r="AH486" s="2">
        <v>2856</v>
      </c>
      <c r="AI486" s="2">
        <v>2860</v>
      </c>
      <c r="AJ486" s="2">
        <v>2860</v>
      </c>
      <c r="AK486" s="2">
        <v>0</v>
      </c>
      <c r="AL486" s="2">
        <v>10820</v>
      </c>
      <c r="AM486" s="2">
        <v>2865</v>
      </c>
      <c r="AN486" s="2">
        <v>2861</v>
      </c>
      <c r="AO486" s="2">
        <v>2858</v>
      </c>
      <c r="AP486" s="2">
        <v>2860</v>
      </c>
      <c r="AQ486" s="2">
        <v>2855</v>
      </c>
      <c r="AR486" s="2">
        <v>3690</v>
      </c>
      <c r="AS486" s="2">
        <v>3690</v>
      </c>
      <c r="AT486" s="2">
        <v>3694</v>
      </c>
      <c r="AU486" s="2">
        <v>3698</v>
      </c>
      <c r="AV486" s="2">
        <v>3686</v>
      </c>
      <c r="AW486" s="1">
        <v>482</v>
      </c>
    </row>
    <row r="487" spans="1:49" ht="12.75">
      <c r="A487" s="5">
        <v>5290</v>
      </c>
      <c r="B487" s="2" t="s">
        <v>421</v>
      </c>
      <c r="C487" s="305">
        <v>-3686</v>
      </c>
      <c r="D487" s="305">
        <v>0</v>
      </c>
      <c r="E487" s="305">
        <v>-2860</v>
      </c>
      <c r="F487" s="305">
        <v>-43577</v>
      </c>
      <c r="G487" s="305">
        <v>0</v>
      </c>
      <c r="H487" s="305">
        <v>-38546</v>
      </c>
      <c r="I487" s="305">
        <v>0</v>
      </c>
      <c r="K487" s="3" t="s">
        <v>982</v>
      </c>
      <c r="L487" s="365"/>
      <c r="M487" s="2">
        <v>-43577</v>
      </c>
      <c r="N487" s="311">
        <v>590</v>
      </c>
      <c r="O487" s="310" t="s">
        <v>108</v>
      </c>
      <c r="V487" s="1">
        <v>0</v>
      </c>
      <c r="W487" s="1" t="s">
        <v>26</v>
      </c>
      <c r="X487" s="1" t="s">
        <v>1400</v>
      </c>
      <c r="Y487" s="2">
        <v>-6920</v>
      </c>
      <c r="Z487" s="2">
        <v>0</v>
      </c>
      <c r="AA487" s="2">
        <v>-3004</v>
      </c>
      <c r="AB487" s="2">
        <v>-3008</v>
      </c>
      <c r="AC487" s="2">
        <v>-3009</v>
      </c>
      <c r="AD487" s="2">
        <v>-3013</v>
      </c>
      <c r="AE487" s="2">
        <v>-3019</v>
      </c>
      <c r="AF487" s="2">
        <v>-5143</v>
      </c>
      <c r="AG487" s="2">
        <v>-2854</v>
      </c>
      <c r="AH487" s="2">
        <v>-2856</v>
      </c>
      <c r="AI487" s="2">
        <v>-2860</v>
      </c>
      <c r="AJ487" s="2">
        <v>-2860</v>
      </c>
      <c r="AK487" s="2">
        <v>0</v>
      </c>
      <c r="AL487" s="2">
        <v>-10820</v>
      </c>
      <c r="AM487" s="2">
        <v>-2865</v>
      </c>
      <c r="AN487" s="2">
        <v>-2861</v>
      </c>
      <c r="AO487" s="2">
        <v>-2858</v>
      </c>
      <c r="AP487" s="2">
        <v>-2860</v>
      </c>
      <c r="AQ487" s="2">
        <v>-2855</v>
      </c>
      <c r="AR487" s="2">
        <v>-3690</v>
      </c>
      <c r="AS487" s="2">
        <v>-3690</v>
      </c>
      <c r="AT487" s="2">
        <v>-3694</v>
      </c>
      <c r="AU487" s="2">
        <v>-3698</v>
      </c>
      <c r="AV487" s="2">
        <v>-3686</v>
      </c>
      <c r="AW487" s="1">
        <v>483</v>
      </c>
    </row>
    <row r="488" spans="1:49" ht="12.75">
      <c r="A488" s="5">
        <v>5400</v>
      </c>
      <c r="B488" s="2" t="s">
        <v>32</v>
      </c>
      <c r="C488" s="305">
        <v>32832.56</v>
      </c>
      <c r="D488" s="305">
        <v>0</v>
      </c>
      <c r="E488" s="305">
        <v>30040.12</v>
      </c>
      <c r="F488" s="305">
        <v>358673.1</v>
      </c>
      <c r="G488" s="305">
        <v>0</v>
      </c>
      <c r="H488" s="305">
        <v>387472.28</v>
      </c>
      <c r="I488" s="305">
        <v>0</v>
      </c>
      <c r="K488" s="3" t="s">
        <v>982</v>
      </c>
      <c r="L488" s="365"/>
      <c r="M488" s="2">
        <v>358673.1</v>
      </c>
      <c r="N488" s="311">
        <v>540</v>
      </c>
      <c r="O488" s="310" t="s">
        <v>130</v>
      </c>
      <c r="V488" s="1">
        <v>0</v>
      </c>
      <c r="W488" s="1" t="s">
        <v>26</v>
      </c>
      <c r="X488" s="1" t="s">
        <v>1401</v>
      </c>
      <c r="Y488" s="2">
        <v>34430.06</v>
      </c>
      <c r="Z488" s="2">
        <v>30772.8</v>
      </c>
      <c r="AA488" s="2">
        <v>28977.99</v>
      </c>
      <c r="AB488" s="2">
        <v>34977.41</v>
      </c>
      <c r="AC488" s="2">
        <v>36898.44</v>
      </c>
      <c r="AD488" s="2">
        <v>34692.97</v>
      </c>
      <c r="AE488" s="2">
        <v>32237.55</v>
      </c>
      <c r="AF488" s="2">
        <v>32030.35</v>
      </c>
      <c r="AG488" s="2">
        <v>31966.83</v>
      </c>
      <c r="AH488" s="2">
        <v>30036.88</v>
      </c>
      <c r="AI488" s="2">
        <v>30410.88</v>
      </c>
      <c r="AJ488" s="2">
        <v>30040.12</v>
      </c>
      <c r="AK488" s="2">
        <v>28380.12</v>
      </c>
      <c r="AL488" s="2">
        <v>29542.82</v>
      </c>
      <c r="AM488" s="2">
        <v>26434.79</v>
      </c>
      <c r="AN488" s="2">
        <v>31575.64</v>
      </c>
      <c r="AO488" s="2">
        <v>31073.39</v>
      </c>
      <c r="AP488" s="2">
        <v>33148.29</v>
      </c>
      <c r="AQ488" s="2">
        <v>27943.19</v>
      </c>
      <c r="AR488" s="2">
        <v>27251.68</v>
      </c>
      <c r="AS488" s="2">
        <v>29022.37</v>
      </c>
      <c r="AT488" s="2">
        <v>28457.31</v>
      </c>
      <c r="AU488" s="2">
        <v>33010.94</v>
      </c>
      <c r="AV488" s="2">
        <v>32832.56</v>
      </c>
      <c r="AW488" s="1">
        <v>484</v>
      </c>
    </row>
    <row r="489" spans="1:49" ht="12.75">
      <c r="A489" s="5">
        <v>5401</v>
      </c>
      <c r="B489" s="2" t="s">
        <v>110</v>
      </c>
      <c r="C489" s="305">
        <v>3877.55</v>
      </c>
      <c r="D489" s="305">
        <v>0</v>
      </c>
      <c r="E489" s="305">
        <v>3556.42</v>
      </c>
      <c r="F489" s="305">
        <v>42303.42</v>
      </c>
      <c r="G489" s="305">
        <v>0</v>
      </c>
      <c r="H489" s="305">
        <v>45844.34</v>
      </c>
      <c r="I489" s="305">
        <v>0</v>
      </c>
      <c r="K489" s="3" t="s">
        <v>982</v>
      </c>
      <c r="L489" s="365"/>
      <c r="M489" s="2">
        <v>42303.42</v>
      </c>
      <c r="N489" s="311">
        <v>541</v>
      </c>
      <c r="O489" s="310" t="s">
        <v>131</v>
      </c>
      <c r="V489" s="1">
        <v>0</v>
      </c>
      <c r="W489" s="1" t="s">
        <v>26</v>
      </c>
      <c r="X489" s="1" t="s">
        <v>1402</v>
      </c>
      <c r="Y489" s="2">
        <v>4014.51</v>
      </c>
      <c r="Z489" s="2">
        <v>3692.71</v>
      </c>
      <c r="AA489" s="2">
        <v>3426.51</v>
      </c>
      <c r="AB489" s="2">
        <v>4146.39</v>
      </c>
      <c r="AC489" s="2">
        <v>4376.91</v>
      </c>
      <c r="AD489" s="2">
        <v>4112.17</v>
      </c>
      <c r="AE489" s="2">
        <v>3817.4</v>
      </c>
      <c r="AF489" s="2">
        <v>3756.6</v>
      </c>
      <c r="AG489" s="2">
        <v>3787.71</v>
      </c>
      <c r="AH489" s="2">
        <v>3556.11</v>
      </c>
      <c r="AI489" s="2">
        <v>3600.9</v>
      </c>
      <c r="AJ489" s="2">
        <v>3556.42</v>
      </c>
      <c r="AK489" s="2">
        <v>3405.61</v>
      </c>
      <c r="AL489" s="2">
        <v>3362.05</v>
      </c>
      <c r="AM489" s="2">
        <v>3123.69</v>
      </c>
      <c r="AN489" s="2">
        <v>3740.69</v>
      </c>
      <c r="AO489" s="2">
        <v>3680.47</v>
      </c>
      <c r="AP489" s="2">
        <v>3929.4</v>
      </c>
      <c r="AQ489" s="2">
        <v>3304.85</v>
      </c>
      <c r="AR489" s="2">
        <v>3207.75</v>
      </c>
      <c r="AS489" s="2">
        <v>3420.24</v>
      </c>
      <c r="AT489" s="2">
        <v>3352.37</v>
      </c>
      <c r="AU489" s="2">
        <v>3898.75</v>
      </c>
      <c r="AV489" s="2">
        <v>3877.55</v>
      </c>
      <c r="AW489" s="1">
        <v>485</v>
      </c>
    </row>
    <row r="490" spans="1:49" ht="12.75">
      <c r="A490" s="5">
        <v>5910</v>
      </c>
      <c r="B490" s="2" t="s">
        <v>111</v>
      </c>
      <c r="C490" s="305">
        <v>0</v>
      </c>
      <c r="D490" s="305">
        <v>0</v>
      </c>
      <c r="E490" s="305">
        <v>14054</v>
      </c>
      <c r="F490" s="305">
        <v>6092.8</v>
      </c>
      <c r="G490" s="305">
        <v>0</v>
      </c>
      <c r="H490" s="305">
        <v>27065</v>
      </c>
      <c r="I490" s="305">
        <v>0</v>
      </c>
      <c r="K490" s="3" t="s">
        <v>982</v>
      </c>
      <c r="L490" s="365"/>
      <c r="M490" s="2">
        <v>6092.8</v>
      </c>
      <c r="N490" s="311">
        <v>590</v>
      </c>
      <c r="O490" s="310" t="s">
        <v>108</v>
      </c>
      <c r="V490" s="1">
        <v>0</v>
      </c>
      <c r="W490" s="1" t="s">
        <v>26</v>
      </c>
      <c r="X490" s="1" t="s">
        <v>1400</v>
      </c>
      <c r="Y490" s="2">
        <v>0</v>
      </c>
      <c r="Z490" s="2">
        <v>4200</v>
      </c>
      <c r="AA490" s="2">
        <v>0</v>
      </c>
      <c r="AB490" s="2">
        <v>0</v>
      </c>
      <c r="AC490" s="2">
        <v>3311</v>
      </c>
      <c r="AD490" s="2">
        <v>0</v>
      </c>
      <c r="AE490" s="2">
        <v>0</v>
      </c>
      <c r="AF490" s="2">
        <v>0</v>
      </c>
      <c r="AG490" s="2">
        <v>0</v>
      </c>
      <c r="AH490" s="2">
        <v>0</v>
      </c>
      <c r="AI490" s="2">
        <v>5500</v>
      </c>
      <c r="AJ490" s="2">
        <v>14054</v>
      </c>
      <c r="AK490" s="2">
        <v>0</v>
      </c>
      <c r="AL490" s="2">
        <v>0</v>
      </c>
      <c r="AM490" s="2">
        <v>369.8</v>
      </c>
      <c r="AN490" s="2">
        <v>0</v>
      </c>
      <c r="AO490" s="2">
        <v>0</v>
      </c>
      <c r="AP490" s="2">
        <v>0</v>
      </c>
      <c r="AQ490" s="2">
        <v>0</v>
      </c>
      <c r="AR490" s="2">
        <v>1123</v>
      </c>
      <c r="AS490" s="2">
        <v>0</v>
      </c>
      <c r="AT490" s="2">
        <v>0</v>
      </c>
      <c r="AU490" s="2">
        <v>4600</v>
      </c>
      <c r="AV490" s="2">
        <v>0</v>
      </c>
      <c r="AW490" s="1">
        <v>486</v>
      </c>
    </row>
    <row r="491" spans="1:49" ht="12.75">
      <c r="A491" s="5">
        <v>5916</v>
      </c>
      <c r="B491" s="2" t="s">
        <v>1403</v>
      </c>
      <c r="C491" s="305">
        <v>0</v>
      </c>
      <c r="D491" s="305">
        <v>0</v>
      </c>
      <c r="E491" s="305">
        <v>0</v>
      </c>
      <c r="F491" s="305">
        <v>0</v>
      </c>
      <c r="G491" s="305">
        <v>0</v>
      </c>
      <c r="H491" s="305">
        <v>5500</v>
      </c>
      <c r="I491" s="305">
        <v>0</v>
      </c>
      <c r="K491" s="3" t="s">
        <v>982</v>
      </c>
      <c r="L491" s="365"/>
      <c r="M491" s="2">
        <v>0</v>
      </c>
      <c r="N491" s="311">
        <v>590</v>
      </c>
      <c r="O491" s="310" t="s">
        <v>108</v>
      </c>
      <c r="V491" s="1">
        <v>0</v>
      </c>
      <c r="W491" s="1" t="s">
        <v>26</v>
      </c>
      <c r="X491" s="1" t="s">
        <v>1400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5500</v>
      </c>
      <c r="AH491" s="2">
        <v>0</v>
      </c>
      <c r="AI491" s="2">
        <v>0</v>
      </c>
      <c r="AJ491" s="2">
        <v>0</v>
      </c>
      <c r="AK491" s="2">
        <v>0</v>
      </c>
      <c r="AL491" s="2">
        <v>0</v>
      </c>
      <c r="AM491" s="2">
        <v>0</v>
      </c>
      <c r="AN491" s="2">
        <v>0</v>
      </c>
      <c r="AO491" s="2">
        <v>0</v>
      </c>
      <c r="AP491" s="2">
        <v>0</v>
      </c>
      <c r="AQ491" s="2">
        <v>0</v>
      </c>
      <c r="AR491" s="2">
        <v>0</v>
      </c>
      <c r="AS491" s="2">
        <v>0</v>
      </c>
      <c r="AT491" s="2">
        <v>0</v>
      </c>
      <c r="AU491" s="2">
        <v>0</v>
      </c>
      <c r="AV491" s="2">
        <v>0</v>
      </c>
      <c r="AW491" s="1">
        <v>487</v>
      </c>
    </row>
    <row r="492" spans="1:49" ht="12.75">
      <c r="A492" s="5">
        <v>5920</v>
      </c>
      <c r="B492" s="2" t="s">
        <v>422</v>
      </c>
      <c r="C492" s="305">
        <v>0</v>
      </c>
      <c r="D492" s="305">
        <v>0</v>
      </c>
      <c r="E492" s="305">
        <v>0</v>
      </c>
      <c r="F492" s="305">
        <v>0</v>
      </c>
      <c r="G492" s="305">
        <v>0</v>
      </c>
      <c r="H492" s="305">
        <v>10596.56</v>
      </c>
      <c r="I492" s="305">
        <v>0</v>
      </c>
      <c r="K492" s="3" t="s">
        <v>982</v>
      </c>
      <c r="L492" s="365"/>
      <c r="M492" s="2">
        <v>0</v>
      </c>
      <c r="N492" s="311">
        <v>590</v>
      </c>
      <c r="O492" s="310" t="s">
        <v>108</v>
      </c>
      <c r="V492" s="1">
        <v>0</v>
      </c>
      <c r="W492" s="1" t="s">
        <v>26</v>
      </c>
      <c r="X492" s="1" t="s">
        <v>1400</v>
      </c>
      <c r="Y492" s="2">
        <v>0</v>
      </c>
      <c r="Z492" s="2">
        <v>0</v>
      </c>
      <c r="AA492" s="2">
        <v>10596.56</v>
      </c>
      <c r="AB492" s="2">
        <v>0</v>
      </c>
      <c r="AC492" s="2">
        <v>0</v>
      </c>
      <c r="AD492" s="2">
        <v>0</v>
      </c>
      <c r="AE492" s="2">
        <v>0</v>
      </c>
      <c r="AF492" s="2">
        <v>0</v>
      </c>
      <c r="AG492" s="2">
        <v>0</v>
      </c>
      <c r="AH492" s="2">
        <v>0</v>
      </c>
      <c r="AI492" s="2">
        <v>0</v>
      </c>
      <c r="AJ492" s="2">
        <v>0</v>
      </c>
      <c r="AK492" s="2">
        <v>0</v>
      </c>
      <c r="AL492" s="2">
        <v>0</v>
      </c>
      <c r="AM492" s="2">
        <v>0</v>
      </c>
      <c r="AN492" s="2">
        <v>0</v>
      </c>
      <c r="AO492" s="2">
        <v>0</v>
      </c>
      <c r="AP492" s="2">
        <v>0</v>
      </c>
      <c r="AQ492" s="2">
        <v>0</v>
      </c>
      <c r="AR492" s="2">
        <v>0</v>
      </c>
      <c r="AS492" s="2">
        <v>0</v>
      </c>
      <c r="AT492" s="2">
        <v>0</v>
      </c>
      <c r="AU492" s="2">
        <v>0</v>
      </c>
      <c r="AV492" s="2">
        <v>0</v>
      </c>
      <c r="AW492" s="1">
        <v>488</v>
      </c>
    </row>
    <row r="493" spans="1:49" ht="12.75">
      <c r="A493" s="5">
        <v>5925</v>
      </c>
      <c r="B493" s="2" t="s">
        <v>1404</v>
      </c>
      <c r="C493" s="305">
        <v>0</v>
      </c>
      <c r="D493" s="305">
        <v>0</v>
      </c>
      <c r="E493" s="305">
        <v>7004</v>
      </c>
      <c r="F493" s="305">
        <v>0</v>
      </c>
      <c r="G493" s="305">
        <v>0</v>
      </c>
      <c r="H493" s="305">
        <v>8525</v>
      </c>
      <c r="I493" s="305">
        <v>0</v>
      </c>
      <c r="K493" s="3" t="s">
        <v>982</v>
      </c>
      <c r="L493" s="365"/>
      <c r="M493" s="2">
        <v>0</v>
      </c>
      <c r="N493" s="311">
        <v>590</v>
      </c>
      <c r="O493" s="310" t="s">
        <v>108</v>
      </c>
      <c r="V493" s="1">
        <v>0</v>
      </c>
      <c r="W493" s="1" t="s">
        <v>26</v>
      </c>
      <c r="X493" s="1" t="s">
        <v>1400</v>
      </c>
      <c r="Y493" s="2">
        <v>0</v>
      </c>
      <c r="Z493" s="2">
        <v>1521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2">
        <v>7004</v>
      </c>
      <c r="AK493" s="2">
        <v>0</v>
      </c>
      <c r="AL493" s="2">
        <v>0</v>
      </c>
      <c r="AM493" s="2">
        <v>0</v>
      </c>
      <c r="AN493" s="2">
        <v>0</v>
      </c>
      <c r="AO493" s="2">
        <v>0</v>
      </c>
      <c r="AP493" s="2">
        <v>0</v>
      </c>
      <c r="AQ493" s="2">
        <v>0</v>
      </c>
      <c r="AR493" s="2">
        <v>0</v>
      </c>
      <c r="AS493" s="2">
        <v>0</v>
      </c>
      <c r="AT493" s="2">
        <v>0</v>
      </c>
      <c r="AU493" s="2">
        <v>0</v>
      </c>
      <c r="AV493" s="2">
        <v>0</v>
      </c>
      <c r="AW493" s="1">
        <v>489</v>
      </c>
    </row>
    <row r="494" spans="1:49" ht="12.75">
      <c r="A494" s="5">
        <v>5932</v>
      </c>
      <c r="B494" s="2" t="s">
        <v>112</v>
      </c>
      <c r="C494" s="305">
        <v>2811</v>
      </c>
      <c r="D494" s="305">
        <v>0</v>
      </c>
      <c r="E494" s="305">
        <v>0</v>
      </c>
      <c r="F494" s="305">
        <v>8246</v>
      </c>
      <c r="G494" s="305">
        <v>0</v>
      </c>
      <c r="H494" s="305">
        <v>14666.5</v>
      </c>
      <c r="I494" s="305">
        <v>0</v>
      </c>
      <c r="K494" s="3" t="s">
        <v>982</v>
      </c>
      <c r="L494" s="365"/>
      <c r="M494" s="2">
        <v>8246</v>
      </c>
      <c r="N494" s="311">
        <v>590</v>
      </c>
      <c r="O494" s="310" t="s">
        <v>108</v>
      </c>
      <c r="V494" s="1">
        <v>0</v>
      </c>
      <c r="W494" s="1" t="s">
        <v>26</v>
      </c>
      <c r="X494" s="1" t="s">
        <v>1400</v>
      </c>
      <c r="Y494" s="2">
        <v>2984</v>
      </c>
      <c r="Z494" s="2">
        <v>0</v>
      </c>
      <c r="AA494" s="2">
        <v>449</v>
      </c>
      <c r="AB494" s="2">
        <v>0</v>
      </c>
      <c r="AC494" s="2">
        <v>0</v>
      </c>
      <c r="AD494" s="2">
        <v>0</v>
      </c>
      <c r="AE494" s="2">
        <v>3298.5</v>
      </c>
      <c r="AF494" s="2">
        <v>0</v>
      </c>
      <c r="AG494" s="2">
        <v>7935</v>
      </c>
      <c r="AH494" s="2">
        <v>0</v>
      </c>
      <c r="AI494" s="2">
        <v>0</v>
      </c>
      <c r="AJ494" s="2">
        <v>0</v>
      </c>
      <c r="AK494" s="2">
        <v>0</v>
      </c>
      <c r="AL494" s="2">
        <v>0</v>
      </c>
      <c r="AM494" s="2">
        <v>0</v>
      </c>
      <c r="AN494" s="2">
        <v>1294</v>
      </c>
      <c r="AO494" s="2">
        <v>0</v>
      </c>
      <c r="AP494" s="2">
        <v>0</v>
      </c>
      <c r="AQ494" s="2">
        <v>4141</v>
      </c>
      <c r="AR494" s="2">
        <v>0</v>
      </c>
      <c r="AS494" s="2">
        <v>0</v>
      </c>
      <c r="AT494" s="2">
        <v>0</v>
      </c>
      <c r="AU494" s="2">
        <v>0</v>
      </c>
      <c r="AV494" s="2">
        <v>2811</v>
      </c>
      <c r="AW494" s="1">
        <v>490</v>
      </c>
    </row>
    <row r="495" spans="1:49" ht="12.75">
      <c r="A495" s="5">
        <v>5940</v>
      </c>
      <c r="B495" s="2" t="s">
        <v>196</v>
      </c>
      <c r="C495" s="305">
        <v>9902.9</v>
      </c>
      <c r="D495" s="305">
        <v>0</v>
      </c>
      <c r="E495" s="305">
        <v>12927</v>
      </c>
      <c r="F495" s="305">
        <v>9902.9</v>
      </c>
      <c r="G495" s="305">
        <v>0</v>
      </c>
      <c r="H495" s="305">
        <v>12927</v>
      </c>
      <c r="I495" s="305">
        <v>0</v>
      </c>
      <c r="K495" s="3" t="s">
        <v>982</v>
      </c>
      <c r="L495" s="365"/>
      <c r="M495" s="2">
        <v>9902.9</v>
      </c>
      <c r="N495" s="311">
        <v>590</v>
      </c>
      <c r="O495" s="310" t="s">
        <v>108</v>
      </c>
      <c r="V495" s="1">
        <v>0</v>
      </c>
      <c r="W495" s="1" t="s">
        <v>26</v>
      </c>
      <c r="X495" s="1" t="s">
        <v>1400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2">
        <v>12927</v>
      </c>
      <c r="AK495" s="2">
        <v>0</v>
      </c>
      <c r="AL495" s="2">
        <v>0</v>
      </c>
      <c r="AM495" s="2">
        <v>0</v>
      </c>
      <c r="AN495" s="2">
        <v>0</v>
      </c>
      <c r="AO495" s="2">
        <v>0</v>
      </c>
      <c r="AP495" s="2">
        <v>0</v>
      </c>
      <c r="AQ495" s="2">
        <v>0</v>
      </c>
      <c r="AR495" s="2">
        <v>0</v>
      </c>
      <c r="AS495" s="2">
        <v>0</v>
      </c>
      <c r="AT495" s="2">
        <v>0</v>
      </c>
      <c r="AU495" s="2">
        <v>0</v>
      </c>
      <c r="AV495" s="2">
        <v>9902.9</v>
      </c>
      <c r="AW495" s="1">
        <v>491</v>
      </c>
    </row>
    <row r="496" spans="1:49" ht="12.75">
      <c r="A496" s="5">
        <v>5941</v>
      </c>
      <c r="B496" s="2" t="s">
        <v>901</v>
      </c>
      <c r="C496" s="305">
        <v>0</v>
      </c>
      <c r="D496" s="305">
        <v>0</v>
      </c>
      <c r="E496" s="305">
        <v>0</v>
      </c>
      <c r="F496" s="305">
        <v>0</v>
      </c>
      <c r="G496" s="305">
        <v>0</v>
      </c>
      <c r="H496" s="305">
        <v>-2125</v>
      </c>
      <c r="I496" s="305">
        <v>0</v>
      </c>
      <c r="K496" s="3" t="s">
        <v>982</v>
      </c>
      <c r="L496" s="365"/>
      <c r="M496" s="2">
        <v>0</v>
      </c>
      <c r="N496" s="311">
        <v>590</v>
      </c>
      <c r="O496" s="310" t="s">
        <v>108</v>
      </c>
      <c r="V496" s="1">
        <v>0</v>
      </c>
      <c r="W496" s="1" t="s">
        <v>26</v>
      </c>
      <c r="X496" s="1" t="s">
        <v>1400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-2125</v>
      </c>
      <c r="AH496" s="2">
        <v>0</v>
      </c>
      <c r="AI496" s="2">
        <v>0</v>
      </c>
      <c r="AJ496" s="2">
        <v>0</v>
      </c>
      <c r="AK496" s="2">
        <v>0</v>
      </c>
      <c r="AL496" s="2">
        <v>0</v>
      </c>
      <c r="AM496" s="2">
        <v>0</v>
      </c>
      <c r="AN496" s="2">
        <v>0</v>
      </c>
      <c r="AO496" s="2">
        <v>0</v>
      </c>
      <c r="AP496" s="2">
        <v>0</v>
      </c>
      <c r="AQ496" s="2">
        <v>0</v>
      </c>
      <c r="AR496" s="2">
        <v>0</v>
      </c>
      <c r="AS496" s="2">
        <v>0</v>
      </c>
      <c r="AT496" s="2">
        <v>0</v>
      </c>
      <c r="AU496" s="2">
        <v>0</v>
      </c>
      <c r="AV496" s="2">
        <v>0</v>
      </c>
      <c r="AW496" s="1">
        <v>492</v>
      </c>
    </row>
    <row r="497" spans="1:49" ht="12.75">
      <c r="A497" s="5">
        <v>5946</v>
      </c>
      <c r="B497" s="2" t="s">
        <v>113</v>
      </c>
      <c r="C497" s="305">
        <v>13344</v>
      </c>
      <c r="D497" s="305">
        <v>0</v>
      </c>
      <c r="E497" s="305">
        <v>10820</v>
      </c>
      <c r="F497" s="305">
        <v>53532</v>
      </c>
      <c r="G497" s="305">
        <v>0</v>
      </c>
      <c r="H497" s="305">
        <v>45309</v>
      </c>
      <c r="I497" s="305">
        <v>0</v>
      </c>
      <c r="K497" s="3" t="s">
        <v>982</v>
      </c>
      <c r="L497" s="365"/>
      <c r="M497" s="2">
        <v>53532</v>
      </c>
      <c r="N497" s="311">
        <v>590</v>
      </c>
      <c r="O497" s="310" t="s">
        <v>108</v>
      </c>
      <c r="V497" s="1">
        <v>0</v>
      </c>
      <c r="W497" s="1" t="s">
        <v>26</v>
      </c>
      <c r="X497" s="1" t="s">
        <v>1400</v>
      </c>
      <c r="Y497" s="2">
        <v>3004</v>
      </c>
      <c r="Z497" s="2">
        <v>3008</v>
      </c>
      <c r="AA497" s="2">
        <v>3009</v>
      </c>
      <c r="AB497" s="2">
        <v>3013</v>
      </c>
      <c r="AC497" s="2">
        <v>3019</v>
      </c>
      <c r="AD497" s="2">
        <v>5143</v>
      </c>
      <c r="AE497" s="2">
        <v>2854</v>
      </c>
      <c r="AF497" s="2">
        <v>2856</v>
      </c>
      <c r="AG497" s="2">
        <v>2860</v>
      </c>
      <c r="AH497" s="2">
        <v>2860</v>
      </c>
      <c r="AI497" s="2">
        <v>2863</v>
      </c>
      <c r="AJ497" s="2">
        <v>10820</v>
      </c>
      <c r="AK497" s="2">
        <v>2865</v>
      </c>
      <c r="AL497" s="2">
        <v>2861</v>
      </c>
      <c r="AM497" s="2">
        <v>2858</v>
      </c>
      <c r="AN497" s="2">
        <v>2860</v>
      </c>
      <c r="AO497" s="2">
        <v>2855</v>
      </c>
      <c r="AP497" s="2">
        <v>7432</v>
      </c>
      <c r="AQ497" s="2">
        <v>3690</v>
      </c>
      <c r="AR497" s="2">
        <v>3694</v>
      </c>
      <c r="AS497" s="2">
        <v>3698</v>
      </c>
      <c r="AT497" s="2">
        <v>3686</v>
      </c>
      <c r="AU497" s="2">
        <v>3689</v>
      </c>
      <c r="AV497" s="2">
        <v>13344</v>
      </c>
      <c r="AW497" s="1">
        <v>493</v>
      </c>
    </row>
    <row r="498" spans="1:49" ht="12.75">
      <c r="A498" s="5">
        <v>6000</v>
      </c>
      <c r="B498" s="2" t="s">
        <v>1405</v>
      </c>
      <c r="C498" s="305">
        <v>0</v>
      </c>
      <c r="D498" s="305">
        <v>0</v>
      </c>
      <c r="E498" s="305">
        <v>150600</v>
      </c>
      <c r="F498" s="305">
        <v>0</v>
      </c>
      <c r="G498" s="305">
        <v>0</v>
      </c>
      <c r="H498" s="305">
        <v>150600</v>
      </c>
      <c r="I498" s="305">
        <v>0</v>
      </c>
      <c r="K498" s="3" t="s">
        <v>982</v>
      </c>
      <c r="L498" s="365"/>
      <c r="M498" s="2">
        <v>0</v>
      </c>
      <c r="N498" s="311">
        <v>790</v>
      </c>
      <c r="O498" s="310" t="s">
        <v>73</v>
      </c>
      <c r="V498" s="1">
        <v>0</v>
      </c>
      <c r="W498" s="1" t="s">
        <v>903</v>
      </c>
      <c r="X498" s="1" t="s">
        <v>1406</v>
      </c>
      <c r="Y498" s="2">
        <v>0</v>
      </c>
      <c r="Z498" s="2">
        <v>0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150600</v>
      </c>
      <c r="AK498" s="2">
        <v>0</v>
      </c>
      <c r="AL498" s="2">
        <v>0</v>
      </c>
      <c r="AM498" s="2">
        <v>0</v>
      </c>
      <c r="AN498" s="2">
        <v>0</v>
      </c>
      <c r="AO498" s="2">
        <v>0</v>
      </c>
      <c r="AP498" s="2">
        <v>0</v>
      </c>
      <c r="AQ498" s="2">
        <v>0</v>
      </c>
      <c r="AR498" s="2">
        <v>0</v>
      </c>
      <c r="AS498" s="2">
        <v>0</v>
      </c>
      <c r="AT498" s="2">
        <v>0</v>
      </c>
      <c r="AU498" s="2">
        <v>0</v>
      </c>
      <c r="AV498" s="2">
        <v>0</v>
      </c>
      <c r="AW498" s="1">
        <v>494</v>
      </c>
    </row>
    <row r="499" spans="1:49" ht="12.75">
      <c r="A499" s="5">
        <v>6001</v>
      </c>
      <c r="B499" s="2" t="s">
        <v>1407</v>
      </c>
      <c r="C499" s="305">
        <v>836.13</v>
      </c>
      <c r="D499" s="305">
        <v>0</v>
      </c>
      <c r="E499" s="305">
        <v>-9197.51</v>
      </c>
      <c r="F499" s="305">
        <v>10033.57</v>
      </c>
      <c r="G499" s="305">
        <v>0</v>
      </c>
      <c r="H499" s="305">
        <v>0</v>
      </c>
      <c r="I499" s="305">
        <v>0</v>
      </c>
      <c r="K499" s="3" t="s">
        <v>982</v>
      </c>
      <c r="L499" s="365"/>
      <c r="M499" s="2">
        <v>10033.57</v>
      </c>
      <c r="N499" s="311">
        <v>790</v>
      </c>
      <c r="O499" s="310" t="s">
        <v>73</v>
      </c>
      <c r="V499" s="1">
        <v>0</v>
      </c>
      <c r="W499" s="1" t="s">
        <v>903</v>
      </c>
      <c r="X499" s="1" t="s">
        <v>1406</v>
      </c>
      <c r="Y499" s="2">
        <v>836.14</v>
      </c>
      <c r="Z499" s="2">
        <v>836.14</v>
      </c>
      <c r="AA499" s="2">
        <v>836.14</v>
      </c>
      <c r="AB499" s="2">
        <v>836.14</v>
      </c>
      <c r="AC499" s="2">
        <v>836.14</v>
      </c>
      <c r="AD499" s="2">
        <v>836.14</v>
      </c>
      <c r="AE499" s="2">
        <v>836.13</v>
      </c>
      <c r="AF499" s="2">
        <v>836.13</v>
      </c>
      <c r="AG499" s="2">
        <v>836.14</v>
      </c>
      <c r="AH499" s="2">
        <v>836.13</v>
      </c>
      <c r="AI499" s="2">
        <v>836.14</v>
      </c>
      <c r="AJ499" s="2">
        <v>-9197.51</v>
      </c>
      <c r="AK499" s="2">
        <v>836.14</v>
      </c>
      <c r="AL499" s="2">
        <v>836.13</v>
      </c>
      <c r="AM499" s="2">
        <v>836.13</v>
      </c>
      <c r="AN499" s="2">
        <v>836.13</v>
      </c>
      <c r="AO499" s="2">
        <v>836.13</v>
      </c>
      <c r="AP499" s="2">
        <v>836.13</v>
      </c>
      <c r="AQ499" s="2">
        <v>836.13</v>
      </c>
      <c r="AR499" s="2">
        <v>836.13</v>
      </c>
      <c r="AS499" s="2">
        <v>836.13</v>
      </c>
      <c r="AT499" s="2">
        <v>836.13</v>
      </c>
      <c r="AU499" s="2">
        <v>836.13</v>
      </c>
      <c r="AV499" s="2">
        <v>836.13</v>
      </c>
      <c r="AW499" s="1">
        <v>495</v>
      </c>
    </row>
    <row r="500" spans="1:49" ht="12.75">
      <c r="A500" s="5">
        <v>6010</v>
      </c>
      <c r="B500" s="2" t="s">
        <v>902</v>
      </c>
      <c r="C500" s="305">
        <v>19186.95</v>
      </c>
      <c r="D500" s="305">
        <v>0</v>
      </c>
      <c r="E500" s="305">
        <v>-51865.09</v>
      </c>
      <c r="F500" s="305">
        <v>179071.3</v>
      </c>
      <c r="G500" s="305">
        <v>0</v>
      </c>
      <c r="H500" s="305">
        <v>0</v>
      </c>
      <c r="I500" s="305">
        <v>0</v>
      </c>
      <c r="K500" s="3" t="s">
        <v>982</v>
      </c>
      <c r="L500" s="365"/>
      <c r="M500" s="2">
        <v>179071.3</v>
      </c>
      <c r="N500" s="311">
        <v>790</v>
      </c>
      <c r="O500" s="310" t="s">
        <v>73</v>
      </c>
      <c r="V500" s="1">
        <v>0</v>
      </c>
      <c r="W500" s="1" t="s">
        <v>903</v>
      </c>
      <c r="X500" s="1" t="s">
        <v>1406</v>
      </c>
      <c r="Y500" s="2">
        <v>4431.68</v>
      </c>
      <c r="Z500" s="2">
        <v>4431.68</v>
      </c>
      <c r="AA500" s="2">
        <v>4431.68</v>
      </c>
      <c r="AB500" s="2">
        <v>4431.68</v>
      </c>
      <c r="AC500" s="2">
        <v>4431.68</v>
      </c>
      <c r="AD500" s="2">
        <v>5291.44</v>
      </c>
      <c r="AE500" s="2">
        <v>4883.05</v>
      </c>
      <c r="AF500" s="2">
        <v>4883.06</v>
      </c>
      <c r="AG500" s="2">
        <v>4883.04</v>
      </c>
      <c r="AH500" s="2">
        <v>4883.06</v>
      </c>
      <c r="AI500" s="2">
        <v>4883.04</v>
      </c>
      <c r="AJ500" s="2">
        <v>-51865.09</v>
      </c>
      <c r="AK500" s="2">
        <v>4883.04</v>
      </c>
      <c r="AL500" s="2">
        <v>4883.06</v>
      </c>
      <c r="AM500" s="2">
        <v>4883.06</v>
      </c>
      <c r="AN500" s="2">
        <v>16433.48</v>
      </c>
      <c r="AO500" s="2">
        <v>16433.48</v>
      </c>
      <c r="AP500" s="2">
        <v>16433.48</v>
      </c>
      <c r="AQ500" s="2">
        <v>19186.95</v>
      </c>
      <c r="AR500" s="2">
        <v>19186.95</v>
      </c>
      <c r="AS500" s="2">
        <v>19186.95</v>
      </c>
      <c r="AT500" s="2">
        <v>19186.95</v>
      </c>
      <c r="AU500" s="2">
        <v>19186.95</v>
      </c>
      <c r="AV500" s="2">
        <v>19186.95</v>
      </c>
      <c r="AW500" s="1">
        <v>496</v>
      </c>
    </row>
    <row r="501" spans="1:49" ht="12.75">
      <c r="A501" s="5">
        <v>6110</v>
      </c>
      <c r="B501" s="2" t="s">
        <v>1408</v>
      </c>
      <c r="C501" s="305">
        <v>0</v>
      </c>
      <c r="D501" s="305">
        <v>0</v>
      </c>
      <c r="E501" s="305">
        <v>0</v>
      </c>
      <c r="F501" s="305">
        <v>155</v>
      </c>
      <c r="G501" s="305">
        <v>0</v>
      </c>
      <c r="H501" s="305">
        <v>0</v>
      </c>
      <c r="I501" s="305">
        <v>0</v>
      </c>
      <c r="K501" s="3" t="s">
        <v>982</v>
      </c>
      <c r="L501" s="365"/>
      <c r="M501" s="2">
        <v>155</v>
      </c>
      <c r="N501" s="311">
        <v>741</v>
      </c>
      <c r="O501" s="310" t="s">
        <v>65</v>
      </c>
      <c r="V501" s="1">
        <v>0</v>
      </c>
      <c r="W501" s="1" t="s">
        <v>370</v>
      </c>
      <c r="X501" s="1" t="s">
        <v>1409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0</v>
      </c>
      <c r="AE501" s="2">
        <v>0</v>
      </c>
      <c r="AF501" s="2">
        <v>0</v>
      </c>
      <c r="AG501" s="2">
        <v>0</v>
      </c>
      <c r="AH501" s="2">
        <v>0</v>
      </c>
      <c r="AI501" s="2">
        <v>0</v>
      </c>
      <c r="AJ501" s="2">
        <v>0</v>
      </c>
      <c r="AK501" s="2">
        <v>0</v>
      </c>
      <c r="AL501" s="2">
        <v>0</v>
      </c>
      <c r="AM501" s="2">
        <v>0</v>
      </c>
      <c r="AN501" s="2">
        <v>0</v>
      </c>
      <c r="AO501" s="2">
        <v>0</v>
      </c>
      <c r="AP501" s="2">
        <v>0</v>
      </c>
      <c r="AQ501" s="2">
        <v>0</v>
      </c>
      <c r="AR501" s="2">
        <v>0</v>
      </c>
      <c r="AS501" s="2">
        <v>155</v>
      </c>
      <c r="AT501" s="2">
        <v>0</v>
      </c>
      <c r="AU501" s="2">
        <v>0</v>
      </c>
      <c r="AV501" s="2">
        <v>0</v>
      </c>
      <c r="AW501" s="1">
        <v>497</v>
      </c>
    </row>
    <row r="502" spans="1:49" ht="12.75">
      <c r="A502" s="5">
        <v>6250</v>
      </c>
      <c r="B502" s="2" t="s">
        <v>1410</v>
      </c>
      <c r="C502" s="305">
        <v>66810.86</v>
      </c>
      <c r="D502" s="305">
        <v>0</v>
      </c>
      <c r="E502" s="305">
        <v>30934.58</v>
      </c>
      <c r="F502" s="305">
        <v>634816.36</v>
      </c>
      <c r="G502" s="305">
        <v>0</v>
      </c>
      <c r="H502" s="305">
        <v>285912.81</v>
      </c>
      <c r="I502" s="305">
        <v>0</v>
      </c>
      <c r="K502" s="3" t="s">
        <v>982</v>
      </c>
      <c r="L502" s="365"/>
      <c r="M502" s="2">
        <v>634816.36</v>
      </c>
      <c r="N502" s="311">
        <v>626</v>
      </c>
      <c r="O502" s="310" t="s">
        <v>1411</v>
      </c>
      <c r="V502" s="1">
        <v>0</v>
      </c>
      <c r="W502" s="1" t="s">
        <v>370</v>
      </c>
      <c r="X502" s="1" t="s">
        <v>1412</v>
      </c>
      <c r="Y502" s="2">
        <v>15786.85</v>
      </c>
      <c r="Z502" s="2">
        <v>25040.77</v>
      </c>
      <c r="AA502" s="2">
        <v>22408.11</v>
      </c>
      <c r="AB502" s="2">
        <v>20179.31</v>
      </c>
      <c r="AC502" s="2">
        <v>19657.98</v>
      </c>
      <c r="AD502" s="2">
        <v>20816.82</v>
      </c>
      <c r="AE502" s="2">
        <v>21649.1</v>
      </c>
      <c r="AF502" s="2">
        <v>23608.27</v>
      </c>
      <c r="AG502" s="2">
        <v>25645.93</v>
      </c>
      <c r="AH502" s="2">
        <v>31095.55</v>
      </c>
      <c r="AI502" s="2">
        <v>29089.54</v>
      </c>
      <c r="AJ502" s="2">
        <v>30934.58</v>
      </c>
      <c r="AK502" s="2">
        <v>55260.88</v>
      </c>
      <c r="AL502" s="2">
        <v>42311.63</v>
      </c>
      <c r="AM502" s="2">
        <v>33503.57</v>
      </c>
      <c r="AN502" s="2">
        <v>0</v>
      </c>
      <c r="AO502" s="2">
        <v>47322.6</v>
      </c>
      <c r="AP502" s="2">
        <v>44586</v>
      </c>
      <c r="AQ502" s="2">
        <v>47301.63</v>
      </c>
      <c r="AR502" s="2">
        <v>64258.35</v>
      </c>
      <c r="AS502" s="2">
        <v>152606.09</v>
      </c>
      <c r="AT502" s="2">
        <v>79168.22</v>
      </c>
      <c r="AU502" s="2">
        <v>1686.53</v>
      </c>
      <c r="AV502" s="2">
        <v>66810.86</v>
      </c>
      <c r="AW502" s="1">
        <v>498</v>
      </c>
    </row>
    <row r="503" spans="1:49" ht="12.75">
      <c r="A503" s="5">
        <v>6260</v>
      </c>
      <c r="B503" s="2" t="s">
        <v>1413</v>
      </c>
      <c r="C503" s="305">
        <v>0</v>
      </c>
      <c r="D503" s="305">
        <v>0</v>
      </c>
      <c r="E503" s="305">
        <v>0</v>
      </c>
      <c r="F503" s="305">
        <v>43667.5</v>
      </c>
      <c r="G503" s="305">
        <v>0</v>
      </c>
      <c r="H503" s="305">
        <v>58812.05</v>
      </c>
      <c r="I503" s="305">
        <v>0</v>
      </c>
      <c r="K503" s="3" t="s">
        <v>982</v>
      </c>
      <c r="L503" s="365"/>
      <c r="M503" s="2">
        <v>43667.5</v>
      </c>
      <c r="N503" s="311">
        <v>626</v>
      </c>
      <c r="O503" s="310" t="s">
        <v>1411</v>
      </c>
      <c r="V503" s="1">
        <v>0</v>
      </c>
      <c r="W503" s="1" t="s">
        <v>370</v>
      </c>
      <c r="X503" s="1" t="s">
        <v>1412</v>
      </c>
      <c r="Y503" s="2">
        <v>24609.6</v>
      </c>
      <c r="Z503" s="2">
        <v>0</v>
      </c>
      <c r="AA503" s="2">
        <v>0</v>
      </c>
      <c r="AB503" s="2">
        <v>108.8</v>
      </c>
      <c r="AC503" s="2">
        <v>0</v>
      </c>
      <c r="AD503" s="2">
        <v>0</v>
      </c>
      <c r="AE503" s="2">
        <v>32718.4</v>
      </c>
      <c r="AF503" s="2">
        <v>0</v>
      </c>
      <c r="AG503" s="2">
        <v>0</v>
      </c>
      <c r="AH503" s="2">
        <v>1375.25</v>
      </c>
      <c r="AI503" s="2">
        <v>0</v>
      </c>
      <c r="AJ503" s="2">
        <v>0</v>
      </c>
      <c r="AK503" s="2">
        <v>0</v>
      </c>
      <c r="AL503" s="2">
        <v>0</v>
      </c>
      <c r="AM503" s="2">
        <v>0</v>
      </c>
      <c r="AN503" s="2">
        <v>1440.5</v>
      </c>
      <c r="AO503" s="2">
        <v>0</v>
      </c>
      <c r="AP503" s="2">
        <v>1266.4</v>
      </c>
      <c r="AQ503" s="2">
        <v>38762.1</v>
      </c>
      <c r="AR503" s="2">
        <v>0</v>
      </c>
      <c r="AS503" s="2">
        <v>0</v>
      </c>
      <c r="AT503" s="2">
        <v>2198.5</v>
      </c>
      <c r="AU503" s="2">
        <v>0</v>
      </c>
      <c r="AV503" s="2">
        <v>0</v>
      </c>
      <c r="AW503" s="1">
        <v>499</v>
      </c>
    </row>
    <row r="504" spans="1:49" ht="12.75">
      <c r="A504" s="5">
        <v>6262</v>
      </c>
      <c r="B504" s="2" t="s">
        <v>312</v>
      </c>
      <c r="C504" s="305">
        <v>0</v>
      </c>
      <c r="D504" s="305">
        <v>0</v>
      </c>
      <c r="E504" s="305">
        <v>0</v>
      </c>
      <c r="F504" s="305">
        <v>0</v>
      </c>
      <c r="G504" s="305">
        <v>0</v>
      </c>
      <c r="H504" s="305">
        <v>-18415.37</v>
      </c>
      <c r="I504" s="305">
        <v>0</v>
      </c>
      <c r="K504" s="3" t="s">
        <v>982</v>
      </c>
      <c r="L504" s="365"/>
      <c r="M504" s="2">
        <v>0</v>
      </c>
      <c r="N504" s="311">
        <v>626</v>
      </c>
      <c r="O504" s="310" t="s">
        <v>1411</v>
      </c>
      <c r="V504" s="1">
        <v>0</v>
      </c>
      <c r="W504" s="1" t="s">
        <v>370</v>
      </c>
      <c r="X504" s="1" t="s">
        <v>1412</v>
      </c>
      <c r="Y504" s="2">
        <v>-21489.5</v>
      </c>
      <c r="Z504" s="2">
        <v>1537.07</v>
      </c>
      <c r="AA504" s="2">
        <v>1537.06</v>
      </c>
      <c r="AB504" s="2">
        <v>0</v>
      </c>
      <c r="AC504" s="2">
        <v>0</v>
      </c>
      <c r="AD504" s="2">
        <v>0</v>
      </c>
      <c r="AE504" s="2">
        <v>0</v>
      </c>
      <c r="AF504" s="2">
        <v>0</v>
      </c>
      <c r="AG504" s="2">
        <v>0</v>
      </c>
      <c r="AH504" s="2">
        <v>0</v>
      </c>
      <c r="AI504" s="2">
        <v>0</v>
      </c>
      <c r="AJ504" s="2">
        <v>0</v>
      </c>
      <c r="AK504" s="2">
        <v>0</v>
      </c>
      <c r="AL504" s="2">
        <v>0</v>
      </c>
      <c r="AM504" s="2">
        <v>0</v>
      </c>
      <c r="AN504" s="2">
        <v>0</v>
      </c>
      <c r="AO504" s="2">
        <v>0</v>
      </c>
      <c r="AP504" s="2">
        <v>0</v>
      </c>
      <c r="AQ504" s="2">
        <v>0</v>
      </c>
      <c r="AR504" s="2">
        <v>0</v>
      </c>
      <c r="AS504" s="2">
        <v>0</v>
      </c>
      <c r="AT504" s="2">
        <v>0</v>
      </c>
      <c r="AU504" s="2">
        <v>0</v>
      </c>
      <c r="AV504" s="2">
        <v>0</v>
      </c>
      <c r="AW504" s="1">
        <v>500</v>
      </c>
    </row>
    <row r="505" spans="1:49" ht="12.75">
      <c r="A505" s="5">
        <v>6270</v>
      </c>
      <c r="B505" s="2" t="s">
        <v>97</v>
      </c>
      <c r="C505" s="305">
        <v>2746.35</v>
      </c>
      <c r="D505" s="305">
        <v>0</v>
      </c>
      <c r="E505" s="305">
        <v>2430.44</v>
      </c>
      <c r="F505" s="305">
        <v>43019.12</v>
      </c>
      <c r="G505" s="305">
        <v>0</v>
      </c>
      <c r="H505" s="305">
        <v>63467.73</v>
      </c>
      <c r="I505" s="305">
        <v>0</v>
      </c>
      <c r="K505" s="3" t="s">
        <v>982</v>
      </c>
      <c r="L505" s="365"/>
      <c r="M505" s="2">
        <v>43019.12</v>
      </c>
      <c r="N505" s="311">
        <v>627</v>
      </c>
      <c r="O505" s="310" t="s">
        <v>49</v>
      </c>
      <c r="V505" s="1">
        <v>0</v>
      </c>
      <c r="W505" s="1" t="s">
        <v>370</v>
      </c>
      <c r="X505" s="1" t="s">
        <v>1414</v>
      </c>
      <c r="Y505" s="2">
        <v>2492.04</v>
      </c>
      <c r="Z505" s="2">
        <v>3895.24</v>
      </c>
      <c r="AA505" s="2">
        <v>8539.68</v>
      </c>
      <c r="AB505" s="2">
        <v>2728.6</v>
      </c>
      <c r="AC505" s="2">
        <v>6167.72</v>
      </c>
      <c r="AD505" s="2">
        <v>5980.79</v>
      </c>
      <c r="AE505" s="2">
        <v>3867.76</v>
      </c>
      <c r="AF505" s="2">
        <v>9215.98</v>
      </c>
      <c r="AG505" s="2">
        <v>7726.68</v>
      </c>
      <c r="AH505" s="2">
        <v>8506.36</v>
      </c>
      <c r="AI505" s="2">
        <v>1916.44</v>
      </c>
      <c r="AJ505" s="2">
        <v>2430.44</v>
      </c>
      <c r="AK505" s="2">
        <v>1916.44</v>
      </c>
      <c r="AL505" s="2">
        <v>1916.44</v>
      </c>
      <c r="AM505" s="2">
        <v>7670.44</v>
      </c>
      <c r="AN505" s="2">
        <v>2381.8</v>
      </c>
      <c r="AO505" s="2">
        <v>2057.88</v>
      </c>
      <c r="AP505" s="2">
        <v>2057.88</v>
      </c>
      <c r="AQ505" s="2">
        <v>2837.8</v>
      </c>
      <c r="AR505" s="2">
        <v>5880.52</v>
      </c>
      <c r="AS505" s="2">
        <v>3226.71</v>
      </c>
      <c r="AT505" s="2">
        <v>8118.78</v>
      </c>
      <c r="AU505" s="2">
        <v>2208.08</v>
      </c>
      <c r="AV505" s="2">
        <v>2746.35</v>
      </c>
      <c r="AW505" s="1">
        <v>501</v>
      </c>
    </row>
    <row r="506" spans="1:49" ht="12.75">
      <c r="A506" s="5">
        <v>6275</v>
      </c>
      <c r="B506" s="2" t="s">
        <v>145</v>
      </c>
      <c r="C506" s="305">
        <v>4710.74</v>
      </c>
      <c r="D506" s="305">
        <v>0</v>
      </c>
      <c r="E506" s="305">
        <v>4709</v>
      </c>
      <c r="F506" s="305">
        <v>88685.51</v>
      </c>
      <c r="G506" s="305">
        <v>0</v>
      </c>
      <c r="H506" s="305">
        <v>75089.75</v>
      </c>
      <c r="I506" s="305">
        <v>0</v>
      </c>
      <c r="K506" s="3" t="s">
        <v>982</v>
      </c>
      <c r="L506" s="365"/>
      <c r="M506" s="2">
        <v>88685.51</v>
      </c>
      <c r="N506" s="311">
        <v>627</v>
      </c>
      <c r="O506" s="310" t="s">
        <v>49</v>
      </c>
      <c r="V506" s="1">
        <v>0</v>
      </c>
      <c r="W506" s="1" t="s">
        <v>370</v>
      </c>
      <c r="X506" s="1" t="s">
        <v>1414</v>
      </c>
      <c r="Y506" s="2">
        <v>3964.25</v>
      </c>
      <c r="Z506" s="2">
        <v>25369.5</v>
      </c>
      <c r="AA506" s="2">
        <v>4405.25</v>
      </c>
      <c r="AB506" s="2">
        <v>4425.5</v>
      </c>
      <c r="AC506" s="2">
        <v>6332.5</v>
      </c>
      <c r="AD506" s="2">
        <v>4400</v>
      </c>
      <c r="AE506" s="2">
        <v>4871</v>
      </c>
      <c r="AF506" s="2">
        <v>4419.25</v>
      </c>
      <c r="AG506" s="2">
        <v>6003.75</v>
      </c>
      <c r="AH506" s="2">
        <v>4219.75</v>
      </c>
      <c r="AI506" s="2">
        <v>1970</v>
      </c>
      <c r="AJ506" s="2">
        <v>4709</v>
      </c>
      <c r="AK506" s="2">
        <v>19767.32</v>
      </c>
      <c r="AL506" s="2">
        <v>5116</v>
      </c>
      <c r="AM506" s="2">
        <v>5027.74</v>
      </c>
      <c r="AN506" s="2">
        <v>1882</v>
      </c>
      <c r="AO506" s="2">
        <v>4775.8</v>
      </c>
      <c r="AP506" s="2">
        <v>24334.44</v>
      </c>
      <c r="AQ506" s="2">
        <v>5039.73</v>
      </c>
      <c r="AR506" s="2">
        <v>4945.66</v>
      </c>
      <c r="AS506" s="2">
        <v>5470.54</v>
      </c>
      <c r="AT506" s="2">
        <v>2256</v>
      </c>
      <c r="AU506" s="2">
        <v>5359.54</v>
      </c>
      <c r="AV506" s="2">
        <v>4710.74</v>
      </c>
      <c r="AW506" s="1">
        <v>502</v>
      </c>
    </row>
    <row r="507" spans="1:49" ht="12.75">
      <c r="A507" s="5">
        <v>6290</v>
      </c>
      <c r="B507" s="2" t="s">
        <v>423</v>
      </c>
      <c r="C507" s="305">
        <v>0</v>
      </c>
      <c r="D507" s="305">
        <v>0</v>
      </c>
      <c r="E507" s="305">
        <v>0</v>
      </c>
      <c r="F507" s="305">
        <v>3333</v>
      </c>
      <c r="G507" s="305">
        <v>0</v>
      </c>
      <c r="H507" s="305">
        <v>0</v>
      </c>
      <c r="I507" s="305">
        <v>0</v>
      </c>
      <c r="K507" s="3" t="s">
        <v>982</v>
      </c>
      <c r="L507" s="365"/>
      <c r="M507" s="2">
        <v>3333</v>
      </c>
      <c r="N507" s="311">
        <v>741</v>
      </c>
      <c r="O507" s="310" t="s">
        <v>65</v>
      </c>
      <c r="V507" s="1">
        <v>0</v>
      </c>
      <c r="W507" s="1" t="s">
        <v>370</v>
      </c>
      <c r="X507" s="1" t="s">
        <v>1409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  <c r="AE507" s="2">
        <v>0</v>
      </c>
      <c r="AF507" s="2">
        <v>0</v>
      </c>
      <c r="AG507" s="2">
        <v>0</v>
      </c>
      <c r="AH507" s="2">
        <v>0</v>
      </c>
      <c r="AI507" s="2">
        <v>0</v>
      </c>
      <c r="AJ507" s="2">
        <v>0</v>
      </c>
      <c r="AK507" s="2">
        <v>0</v>
      </c>
      <c r="AL507" s="2">
        <v>0</v>
      </c>
      <c r="AM507" s="2">
        <v>0</v>
      </c>
      <c r="AN507" s="2">
        <v>0</v>
      </c>
      <c r="AO507" s="2">
        <v>0</v>
      </c>
      <c r="AP507" s="2">
        <v>0</v>
      </c>
      <c r="AQ507" s="2">
        <v>0</v>
      </c>
      <c r="AR507" s="2">
        <v>0</v>
      </c>
      <c r="AS507" s="2">
        <v>0</v>
      </c>
      <c r="AT507" s="2">
        <v>3333</v>
      </c>
      <c r="AU507" s="2">
        <v>0</v>
      </c>
      <c r="AV507" s="2">
        <v>0</v>
      </c>
      <c r="AW507" s="1">
        <v>503</v>
      </c>
    </row>
    <row r="508" spans="1:49" ht="12.75">
      <c r="A508" s="5">
        <v>6310</v>
      </c>
      <c r="B508" s="2" t="s">
        <v>1415</v>
      </c>
      <c r="C508" s="305">
        <v>55600</v>
      </c>
      <c r="D508" s="305">
        <v>0</v>
      </c>
      <c r="E508" s="305">
        <v>52825</v>
      </c>
      <c r="F508" s="305">
        <v>667200</v>
      </c>
      <c r="G508" s="305">
        <v>0</v>
      </c>
      <c r="H508" s="305">
        <v>633900</v>
      </c>
      <c r="I508" s="305">
        <v>0</v>
      </c>
      <c r="K508" s="3" t="s">
        <v>982</v>
      </c>
      <c r="L508" s="365"/>
      <c r="M508" s="2">
        <v>667200</v>
      </c>
      <c r="N508" s="311">
        <v>621</v>
      </c>
      <c r="O508" s="310" t="s">
        <v>1416</v>
      </c>
      <c r="V508" s="1">
        <v>1</v>
      </c>
      <c r="W508" s="1" t="s">
        <v>370</v>
      </c>
      <c r="X508" s="1" t="s">
        <v>1417</v>
      </c>
      <c r="Y508" s="2">
        <v>52825</v>
      </c>
      <c r="Z508" s="2">
        <v>52825</v>
      </c>
      <c r="AA508" s="2">
        <v>52825</v>
      </c>
      <c r="AB508" s="2">
        <v>52825</v>
      </c>
      <c r="AC508" s="2">
        <v>52825</v>
      </c>
      <c r="AD508" s="2">
        <v>52825</v>
      </c>
      <c r="AE508" s="2">
        <v>52825</v>
      </c>
      <c r="AF508" s="2">
        <v>52825</v>
      </c>
      <c r="AG508" s="2">
        <v>52825</v>
      </c>
      <c r="AH508" s="2">
        <v>52825</v>
      </c>
      <c r="AI508" s="2">
        <v>52825</v>
      </c>
      <c r="AJ508" s="2">
        <v>52825</v>
      </c>
      <c r="AK508" s="2">
        <v>55600</v>
      </c>
      <c r="AL508" s="2">
        <v>55600</v>
      </c>
      <c r="AM508" s="2">
        <v>55600</v>
      </c>
      <c r="AN508" s="2">
        <v>55600</v>
      </c>
      <c r="AO508" s="2">
        <v>55600</v>
      </c>
      <c r="AP508" s="2">
        <v>55600</v>
      </c>
      <c r="AQ508" s="2">
        <v>55600</v>
      </c>
      <c r="AR508" s="2">
        <v>55600</v>
      </c>
      <c r="AS508" s="2">
        <v>55600</v>
      </c>
      <c r="AT508" s="2">
        <v>55600</v>
      </c>
      <c r="AU508" s="2">
        <v>55600</v>
      </c>
      <c r="AV508" s="2">
        <v>55600</v>
      </c>
      <c r="AW508" s="1">
        <v>504</v>
      </c>
    </row>
    <row r="509" spans="1:49" ht="12.75">
      <c r="A509" s="5">
        <v>6420</v>
      </c>
      <c r="B509" s="2" t="s">
        <v>114</v>
      </c>
      <c r="C509" s="305">
        <v>2400</v>
      </c>
      <c r="D509" s="305">
        <v>0</v>
      </c>
      <c r="E509" s="305">
        <v>0</v>
      </c>
      <c r="F509" s="305">
        <v>2400</v>
      </c>
      <c r="G509" s="305">
        <v>0</v>
      </c>
      <c r="H509" s="305">
        <v>468</v>
      </c>
      <c r="I509" s="305">
        <v>0</v>
      </c>
      <c r="K509" s="3" t="s">
        <v>982</v>
      </c>
      <c r="L509" s="365"/>
      <c r="M509" s="2">
        <v>2400</v>
      </c>
      <c r="N509" s="311">
        <v>628</v>
      </c>
      <c r="O509" s="310" t="s">
        <v>50</v>
      </c>
      <c r="V509" s="1">
        <v>1</v>
      </c>
      <c r="W509" s="1" t="s">
        <v>370</v>
      </c>
      <c r="X509" s="1" t="s">
        <v>1418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2">
        <v>0</v>
      </c>
      <c r="AE509" s="2">
        <v>0</v>
      </c>
      <c r="AF509" s="2">
        <v>0</v>
      </c>
      <c r="AG509" s="2">
        <v>0</v>
      </c>
      <c r="AH509" s="2">
        <v>0</v>
      </c>
      <c r="AI509" s="2">
        <v>468</v>
      </c>
      <c r="AJ509" s="2">
        <v>0</v>
      </c>
      <c r="AK509" s="2">
        <v>0</v>
      </c>
      <c r="AL509" s="2">
        <v>0</v>
      </c>
      <c r="AM509" s="2">
        <v>0</v>
      </c>
      <c r="AN509" s="2">
        <v>0</v>
      </c>
      <c r="AO509" s="2">
        <v>0</v>
      </c>
      <c r="AP509" s="2">
        <v>0</v>
      </c>
      <c r="AQ509" s="2">
        <v>0</v>
      </c>
      <c r="AR509" s="2">
        <v>0</v>
      </c>
      <c r="AS509" s="2">
        <v>0</v>
      </c>
      <c r="AT509" s="2">
        <v>0</v>
      </c>
      <c r="AU509" s="2">
        <v>0</v>
      </c>
      <c r="AV509" s="2">
        <v>2400</v>
      </c>
      <c r="AW509" s="1">
        <v>505</v>
      </c>
    </row>
    <row r="510" spans="1:49" ht="12.75">
      <c r="A510" s="5">
        <v>6480</v>
      </c>
      <c r="B510" s="2" t="s">
        <v>1419</v>
      </c>
      <c r="C510" s="305">
        <v>0</v>
      </c>
      <c r="D510" s="305">
        <v>0</v>
      </c>
      <c r="E510" s="305">
        <v>395</v>
      </c>
      <c r="F510" s="305">
        <v>0</v>
      </c>
      <c r="G510" s="305">
        <v>0</v>
      </c>
      <c r="H510" s="305">
        <v>395</v>
      </c>
      <c r="I510" s="305">
        <v>0</v>
      </c>
      <c r="K510" s="3" t="s">
        <v>982</v>
      </c>
      <c r="L510" s="365"/>
      <c r="M510" s="2">
        <v>0</v>
      </c>
      <c r="N510" s="311">
        <v>628</v>
      </c>
      <c r="O510" s="310" t="s">
        <v>50</v>
      </c>
      <c r="V510" s="1">
        <v>1</v>
      </c>
      <c r="W510" s="1" t="s">
        <v>370</v>
      </c>
      <c r="X510" s="1" t="s">
        <v>1418</v>
      </c>
      <c r="Y510" s="2">
        <v>0</v>
      </c>
      <c r="Z510" s="2">
        <v>0</v>
      </c>
      <c r="AA510" s="2">
        <v>0</v>
      </c>
      <c r="AB510" s="2">
        <v>0</v>
      </c>
      <c r="AC510" s="2">
        <v>0</v>
      </c>
      <c r="AD510" s="2">
        <v>0</v>
      </c>
      <c r="AE510" s="2">
        <v>0</v>
      </c>
      <c r="AF510" s="2">
        <v>0</v>
      </c>
      <c r="AG510" s="2">
        <v>0</v>
      </c>
      <c r="AH510" s="2">
        <v>0</v>
      </c>
      <c r="AI510" s="2">
        <v>0</v>
      </c>
      <c r="AJ510" s="2">
        <v>395</v>
      </c>
      <c r="AK510" s="2">
        <v>0</v>
      </c>
      <c r="AL510" s="2">
        <v>0</v>
      </c>
      <c r="AM510" s="2">
        <v>0</v>
      </c>
      <c r="AN510" s="2">
        <v>0</v>
      </c>
      <c r="AO510" s="2">
        <v>0</v>
      </c>
      <c r="AP510" s="2">
        <v>0</v>
      </c>
      <c r="AQ510" s="2">
        <v>0</v>
      </c>
      <c r="AR510" s="2">
        <v>0</v>
      </c>
      <c r="AS510" s="2">
        <v>0</v>
      </c>
      <c r="AT510" s="2">
        <v>0</v>
      </c>
      <c r="AU510" s="2">
        <v>0</v>
      </c>
      <c r="AV510" s="2">
        <v>0</v>
      </c>
      <c r="AW510" s="1">
        <v>506</v>
      </c>
    </row>
    <row r="511" spans="1:49" ht="12.75">
      <c r="A511" s="5">
        <v>6510</v>
      </c>
      <c r="B511" s="2" t="s">
        <v>98</v>
      </c>
      <c r="C511" s="305">
        <v>8142.4</v>
      </c>
      <c r="D511" s="305">
        <v>0</v>
      </c>
      <c r="E511" s="305">
        <v>51585.6</v>
      </c>
      <c r="F511" s="305">
        <v>47271.53</v>
      </c>
      <c r="G511" s="305">
        <v>0</v>
      </c>
      <c r="H511" s="305">
        <v>169378.65</v>
      </c>
      <c r="I511" s="305">
        <v>0</v>
      </c>
      <c r="K511" s="3" t="s">
        <v>982</v>
      </c>
      <c r="L511" s="365"/>
      <c r="M511" s="2">
        <v>47271.53</v>
      </c>
      <c r="N511" s="311">
        <v>630</v>
      </c>
      <c r="O511" s="310" t="s">
        <v>53</v>
      </c>
      <c r="V511" s="1">
        <v>1</v>
      </c>
      <c r="W511" s="1" t="s">
        <v>370</v>
      </c>
      <c r="X511" s="1" t="s">
        <v>1420</v>
      </c>
      <c r="Y511" s="2">
        <v>0</v>
      </c>
      <c r="Z511" s="2">
        <v>3600</v>
      </c>
      <c r="AA511" s="2">
        <v>27266.41</v>
      </c>
      <c r="AB511" s="2">
        <v>0</v>
      </c>
      <c r="AC511" s="2">
        <v>0</v>
      </c>
      <c r="AD511" s="2">
        <v>363.16</v>
      </c>
      <c r="AE511" s="2">
        <v>342.28</v>
      </c>
      <c r="AF511" s="2">
        <v>25459.2</v>
      </c>
      <c r="AG511" s="2">
        <v>39034.4</v>
      </c>
      <c r="AH511" s="2">
        <v>13837.6</v>
      </c>
      <c r="AI511" s="2">
        <v>7890</v>
      </c>
      <c r="AJ511" s="2">
        <v>51585.6</v>
      </c>
      <c r="AK511" s="2">
        <v>7327.47</v>
      </c>
      <c r="AL511" s="2">
        <v>0</v>
      </c>
      <c r="AM511" s="2">
        <v>264.78</v>
      </c>
      <c r="AN511" s="2">
        <v>4823.18</v>
      </c>
      <c r="AO511" s="2">
        <v>264.78</v>
      </c>
      <c r="AP511" s="2">
        <v>0</v>
      </c>
      <c r="AQ511" s="2">
        <v>7069.86</v>
      </c>
      <c r="AR511" s="2">
        <v>0</v>
      </c>
      <c r="AS511" s="2">
        <v>1680</v>
      </c>
      <c r="AT511" s="2">
        <v>15131.86</v>
      </c>
      <c r="AU511" s="2">
        <v>2567.2</v>
      </c>
      <c r="AV511" s="2">
        <v>8142.4</v>
      </c>
      <c r="AW511" s="1">
        <v>507</v>
      </c>
    </row>
    <row r="512" spans="1:49" ht="12.75">
      <c r="A512" s="5">
        <v>6520</v>
      </c>
      <c r="B512" s="2" t="s">
        <v>441</v>
      </c>
      <c r="C512" s="305">
        <v>0</v>
      </c>
      <c r="D512" s="305">
        <v>0</v>
      </c>
      <c r="E512" s="305">
        <v>0</v>
      </c>
      <c r="F512" s="305">
        <v>2708.95</v>
      </c>
      <c r="G512" s="305">
        <v>0</v>
      </c>
      <c r="H512" s="305">
        <v>5053</v>
      </c>
      <c r="I512" s="305">
        <v>0</v>
      </c>
      <c r="K512" s="3" t="s">
        <v>982</v>
      </c>
      <c r="L512" s="365"/>
      <c r="M512" s="2">
        <v>2708.95</v>
      </c>
      <c r="N512" s="311">
        <v>630</v>
      </c>
      <c r="O512" s="310" t="s">
        <v>53</v>
      </c>
      <c r="V512" s="1">
        <v>1</v>
      </c>
      <c r="W512" s="1" t="s">
        <v>370</v>
      </c>
      <c r="X512" s="1" t="s">
        <v>1420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4355</v>
      </c>
      <c r="AE512" s="2">
        <v>0</v>
      </c>
      <c r="AF512" s="2">
        <v>0</v>
      </c>
      <c r="AG512" s="2">
        <v>698</v>
      </c>
      <c r="AH512" s="2">
        <v>0</v>
      </c>
      <c r="AI512" s="2">
        <v>0</v>
      </c>
      <c r="AJ512" s="2">
        <v>0</v>
      </c>
      <c r="AK512" s="2">
        <v>0</v>
      </c>
      <c r="AL512" s="2">
        <v>0</v>
      </c>
      <c r="AM512" s="2">
        <v>0</v>
      </c>
      <c r="AN512" s="2">
        <v>1935.95</v>
      </c>
      <c r="AO512" s="2">
        <v>0</v>
      </c>
      <c r="AP512" s="2">
        <v>0</v>
      </c>
      <c r="AQ512" s="2">
        <v>0</v>
      </c>
      <c r="AR512" s="2">
        <v>0</v>
      </c>
      <c r="AS512" s="2">
        <v>0</v>
      </c>
      <c r="AT512" s="2">
        <v>0</v>
      </c>
      <c r="AU512" s="2">
        <v>773</v>
      </c>
      <c r="AV512" s="2">
        <v>0</v>
      </c>
      <c r="AW512" s="1">
        <v>508</v>
      </c>
    </row>
    <row r="513" spans="1:49" ht="12.75">
      <c r="A513" s="5">
        <v>6560</v>
      </c>
      <c r="B513" s="2" t="s">
        <v>424</v>
      </c>
      <c r="C513" s="305">
        <v>0</v>
      </c>
      <c r="D513" s="305">
        <v>0</v>
      </c>
      <c r="E513" s="305">
        <v>0</v>
      </c>
      <c r="F513" s="305">
        <v>0</v>
      </c>
      <c r="G513" s="305">
        <v>0</v>
      </c>
      <c r="H513" s="305">
        <v>2038</v>
      </c>
      <c r="I513" s="305">
        <v>0</v>
      </c>
      <c r="K513" s="3" t="s">
        <v>982</v>
      </c>
      <c r="L513" s="365"/>
      <c r="M513" s="2">
        <v>0</v>
      </c>
      <c r="N513" s="311">
        <v>633</v>
      </c>
      <c r="O513" s="310" t="s">
        <v>57</v>
      </c>
      <c r="V513" s="1">
        <v>1</v>
      </c>
      <c r="W513" s="1" t="s">
        <v>370</v>
      </c>
      <c r="X513" s="1" t="s">
        <v>1421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2">
        <v>0</v>
      </c>
      <c r="AE513" s="2">
        <v>0</v>
      </c>
      <c r="AF513" s="2">
        <v>0</v>
      </c>
      <c r="AG513" s="2">
        <v>2038</v>
      </c>
      <c r="AH513" s="2">
        <v>0</v>
      </c>
      <c r="AI513" s="2">
        <v>0</v>
      </c>
      <c r="AJ513" s="2">
        <v>0</v>
      </c>
      <c r="AK513" s="2">
        <v>0</v>
      </c>
      <c r="AL513" s="2">
        <v>0</v>
      </c>
      <c r="AM513" s="2">
        <v>0</v>
      </c>
      <c r="AN513" s="2">
        <v>0</v>
      </c>
      <c r="AO513" s="2">
        <v>0</v>
      </c>
      <c r="AP513" s="2">
        <v>0</v>
      </c>
      <c r="AQ513" s="2">
        <v>0</v>
      </c>
      <c r="AR513" s="2">
        <v>0</v>
      </c>
      <c r="AS513" s="2">
        <v>0</v>
      </c>
      <c r="AT513" s="2">
        <v>0</v>
      </c>
      <c r="AU513" s="2">
        <v>0</v>
      </c>
      <c r="AV513" s="2">
        <v>0</v>
      </c>
      <c r="AW513" s="1">
        <v>509</v>
      </c>
    </row>
    <row r="514" spans="1:49" ht="12.75">
      <c r="A514" s="5">
        <v>6570</v>
      </c>
      <c r="B514" s="2" t="s">
        <v>115</v>
      </c>
      <c r="C514" s="305">
        <v>5810.28</v>
      </c>
      <c r="D514" s="305">
        <v>0</v>
      </c>
      <c r="E514" s="305">
        <v>10350.91</v>
      </c>
      <c r="F514" s="305">
        <v>59321.8</v>
      </c>
      <c r="G514" s="305">
        <v>0</v>
      </c>
      <c r="H514" s="305">
        <v>65262.8</v>
      </c>
      <c r="I514" s="305">
        <v>0</v>
      </c>
      <c r="K514" s="3" t="s">
        <v>982</v>
      </c>
      <c r="L514" s="365"/>
      <c r="M514" s="2">
        <v>59321.8</v>
      </c>
      <c r="N514" s="311">
        <v>631</v>
      </c>
      <c r="O514" s="310" t="s">
        <v>54</v>
      </c>
      <c r="V514" s="1">
        <v>1</v>
      </c>
      <c r="W514" s="1" t="s">
        <v>370</v>
      </c>
      <c r="X514" s="1" t="s">
        <v>1422</v>
      </c>
      <c r="Y514" s="2">
        <v>4326.59</v>
      </c>
      <c r="Z514" s="2">
        <v>8245.4</v>
      </c>
      <c r="AA514" s="2">
        <v>7744.54</v>
      </c>
      <c r="AB514" s="2">
        <v>2907.32</v>
      </c>
      <c r="AC514" s="2">
        <v>4017.29</v>
      </c>
      <c r="AD514" s="2">
        <v>7107.97</v>
      </c>
      <c r="AE514" s="2">
        <v>1810.28</v>
      </c>
      <c r="AF514" s="2">
        <v>4104.23</v>
      </c>
      <c r="AG514" s="2">
        <v>7220.63</v>
      </c>
      <c r="AH514" s="2">
        <v>2712.26</v>
      </c>
      <c r="AI514" s="2">
        <v>4715.38</v>
      </c>
      <c r="AJ514" s="2">
        <v>10350.91</v>
      </c>
      <c r="AK514" s="2">
        <v>3745.94</v>
      </c>
      <c r="AL514" s="2">
        <v>2627.47</v>
      </c>
      <c r="AM514" s="2">
        <v>4524.36</v>
      </c>
      <c r="AN514" s="2">
        <v>5135.59</v>
      </c>
      <c r="AO514" s="2">
        <v>5050.41</v>
      </c>
      <c r="AP514" s="2">
        <v>8141.59</v>
      </c>
      <c r="AQ514" s="2">
        <v>4785.63</v>
      </c>
      <c r="AR514" s="2">
        <v>3789.03</v>
      </c>
      <c r="AS514" s="2">
        <v>7900.17</v>
      </c>
      <c r="AT514" s="2">
        <v>2107.67</v>
      </c>
      <c r="AU514" s="2">
        <v>5703.66</v>
      </c>
      <c r="AV514" s="2">
        <v>5810.28</v>
      </c>
      <c r="AW514" s="1">
        <v>510</v>
      </c>
    </row>
    <row r="515" spans="1:49" ht="12.75">
      <c r="A515" s="5">
        <v>6600</v>
      </c>
      <c r="B515" s="2" t="s">
        <v>1</v>
      </c>
      <c r="C515" s="305">
        <v>0</v>
      </c>
      <c r="D515" s="305">
        <v>0</v>
      </c>
      <c r="E515" s="305">
        <v>0</v>
      </c>
      <c r="F515" s="305">
        <v>0</v>
      </c>
      <c r="G515" s="305">
        <v>0</v>
      </c>
      <c r="H515" s="305">
        <v>11938.5</v>
      </c>
      <c r="I515" s="305">
        <v>0</v>
      </c>
      <c r="K515" s="3" t="s">
        <v>982</v>
      </c>
      <c r="L515" s="365"/>
      <c r="M515" s="2">
        <v>0</v>
      </c>
      <c r="N515" s="311">
        <v>632</v>
      </c>
      <c r="O515" s="310" t="s">
        <v>55</v>
      </c>
      <c r="V515" s="1">
        <v>1</v>
      </c>
      <c r="W515" s="1" t="s">
        <v>370</v>
      </c>
      <c r="X515" s="1" t="s">
        <v>1423</v>
      </c>
      <c r="Y515" s="2">
        <v>1759.5</v>
      </c>
      <c r="Z515" s="2">
        <v>7009.5</v>
      </c>
      <c r="AA515" s="2">
        <v>0</v>
      </c>
      <c r="AB515" s="2">
        <v>1759.5</v>
      </c>
      <c r="AC515" s="2">
        <v>0</v>
      </c>
      <c r="AD515" s="2">
        <v>0</v>
      </c>
      <c r="AE515" s="2">
        <v>0</v>
      </c>
      <c r="AF515" s="2">
        <v>1410</v>
      </c>
      <c r="AG515" s="2">
        <v>0</v>
      </c>
      <c r="AH515" s="2">
        <v>0</v>
      </c>
      <c r="AI515" s="2">
        <v>0</v>
      </c>
      <c r="AJ515" s="2">
        <v>0</v>
      </c>
      <c r="AK515" s="2">
        <v>0</v>
      </c>
      <c r="AL515" s="2">
        <v>0</v>
      </c>
      <c r="AM515" s="2">
        <v>0</v>
      </c>
      <c r="AN515" s="2">
        <v>0</v>
      </c>
      <c r="AO515" s="2">
        <v>0</v>
      </c>
      <c r="AP515" s="2">
        <v>0</v>
      </c>
      <c r="AQ515" s="2">
        <v>0</v>
      </c>
      <c r="AR515" s="2">
        <v>0</v>
      </c>
      <c r="AS515" s="2">
        <v>0</v>
      </c>
      <c r="AT515" s="2">
        <v>0</v>
      </c>
      <c r="AU515" s="2">
        <v>0</v>
      </c>
      <c r="AV515" s="2">
        <v>0</v>
      </c>
      <c r="AW515" s="1">
        <v>511</v>
      </c>
    </row>
    <row r="516" spans="1:49" ht="12.75">
      <c r="A516" s="5">
        <v>6601</v>
      </c>
      <c r="B516" s="2" t="s">
        <v>905</v>
      </c>
      <c r="C516" s="305">
        <v>0</v>
      </c>
      <c r="D516" s="305">
        <v>0</v>
      </c>
      <c r="E516" s="305">
        <v>5250.4</v>
      </c>
      <c r="F516" s="305">
        <v>18583.2</v>
      </c>
      <c r="G516" s="305">
        <v>0</v>
      </c>
      <c r="H516" s="305">
        <v>71813.3</v>
      </c>
      <c r="I516" s="305">
        <v>0</v>
      </c>
      <c r="K516" s="3" t="s">
        <v>982</v>
      </c>
      <c r="L516" s="365"/>
      <c r="M516" s="2">
        <v>18583.2</v>
      </c>
      <c r="N516" s="311">
        <v>632</v>
      </c>
      <c r="O516" s="310" t="s">
        <v>55</v>
      </c>
      <c r="V516" s="1">
        <v>1</v>
      </c>
      <c r="W516" s="1" t="s">
        <v>370</v>
      </c>
      <c r="X516" s="1" t="s">
        <v>1423</v>
      </c>
      <c r="Y516" s="2">
        <v>6750</v>
      </c>
      <c r="Z516" s="2">
        <v>5062.5</v>
      </c>
      <c r="AA516" s="2">
        <v>8250</v>
      </c>
      <c r="AB516" s="2">
        <v>6750</v>
      </c>
      <c r="AC516" s="2">
        <v>5250</v>
      </c>
      <c r="AD516" s="2">
        <v>5250</v>
      </c>
      <c r="AE516" s="2">
        <v>6750</v>
      </c>
      <c r="AF516" s="2">
        <v>5250</v>
      </c>
      <c r="AG516" s="2">
        <v>6750</v>
      </c>
      <c r="AH516" s="2">
        <v>5250</v>
      </c>
      <c r="AI516" s="2">
        <v>5250.4</v>
      </c>
      <c r="AJ516" s="2">
        <v>5250.4</v>
      </c>
      <c r="AK516" s="2">
        <v>11428</v>
      </c>
      <c r="AL516" s="2">
        <v>7155.2</v>
      </c>
      <c r="AM516" s="2">
        <v>0</v>
      </c>
      <c r="AN516" s="2">
        <v>0</v>
      </c>
      <c r="AO516" s="2">
        <v>0</v>
      </c>
      <c r="AP516" s="2">
        <v>0</v>
      </c>
      <c r="AQ516" s="2">
        <v>0</v>
      </c>
      <c r="AR516" s="2">
        <v>0</v>
      </c>
      <c r="AS516" s="2">
        <v>0</v>
      </c>
      <c r="AT516" s="2">
        <v>0</v>
      </c>
      <c r="AU516" s="2">
        <v>0</v>
      </c>
      <c r="AV516" s="2">
        <v>0</v>
      </c>
      <c r="AW516" s="1">
        <v>512</v>
      </c>
    </row>
    <row r="517" spans="1:49" ht="12.75">
      <c r="A517" s="5">
        <v>6610</v>
      </c>
      <c r="B517" s="2" t="s">
        <v>371</v>
      </c>
      <c r="C517" s="305">
        <v>0</v>
      </c>
      <c r="D517" s="305">
        <v>0</v>
      </c>
      <c r="E517" s="305">
        <v>2530.14</v>
      </c>
      <c r="F517" s="305">
        <v>34208.49</v>
      </c>
      <c r="G517" s="305">
        <v>0</v>
      </c>
      <c r="H517" s="305">
        <v>69410.09</v>
      </c>
      <c r="I517" s="305">
        <v>0</v>
      </c>
      <c r="K517" s="3" t="s">
        <v>982</v>
      </c>
      <c r="L517" s="365"/>
      <c r="M517" s="2">
        <v>34208.49</v>
      </c>
      <c r="N517" s="311">
        <v>632</v>
      </c>
      <c r="O517" s="310" t="s">
        <v>55</v>
      </c>
      <c r="V517" s="1">
        <v>1</v>
      </c>
      <c r="W517" s="1" t="s">
        <v>370</v>
      </c>
      <c r="X517" s="1" t="s">
        <v>1423</v>
      </c>
      <c r="Y517" s="2">
        <v>0</v>
      </c>
      <c r="Z517" s="2">
        <v>12571.78</v>
      </c>
      <c r="AA517" s="2">
        <v>12698.4</v>
      </c>
      <c r="AB517" s="2">
        <v>0</v>
      </c>
      <c r="AC517" s="2">
        <v>14258</v>
      </c>
      <c r="AD517" s="2">
        <v>0</v>
      </c>
      <c r="AE517" s="2">
        <v>10297.2</v>
      </c>
      <c r="AF517" s="2">
        <v>147</v>
      </c>
      <c r="AG517" s="2">
        <v>2635.2</v>
      </c>
      <c r="AH517" s="2">
        <v>0</v>
      </c>
      <c r="AI517" s="2">
        <v>14272.37</v>
      </c>
      <c r="AJ517" s="2">
        <v>2530.14</v>
      </c>
      <c r="AK517" s="2">
        <v>922.43</v>
      </c>
      <c r="AL517" s="2">
        <v>0</v>
      </c>
      <c r="AM517" s="2">
        <v>5819</v>
      </c>
      <c r="AN517" s="2">
        <v>2664</v>
      </c>
      <c r="AO517" s="2">
        <v>6848.37</v>
      </c>
      <c r="AP517" s="2">
        <v>3142.4</v>
      </c>
      <c r="AQ517" s="2">
        <v>922.43</v>
      </c>
      <c r="AR517" s="2">
        <v>8063.8</v>
      </c>
      <c r="AS517" s="2">
        <v>1609.63</v>
      </c>
      <c r="AT517" s="2">
        <v>922.43</v>
      </c>
      <c r="AU517" s="2">
        <v>3294</v>
      </c>
      <c r="AV517" s="2">
        <v>0</v>
      </c>
      <c r="AW517" s="1">
        <v>513</v>
      </c>
    </row>
    <row r="518" spans="1:49" ht="12.75">
      <c r="A518" s="5">
        <v>6611</v>
      </c>
      <c r="B518" s="2" t="s">
        <v>906</v>
      </c>
      <c r="C518" s="305">
        <v>0</v>
      </c>
      <c r="D518" s="305">
        <v>0</v>
      </c>
      <c r="E518" s="305">
        <v>0</v>
      </c>
      <c r="F518" s="305">
        <v>0</v>
      </c>
      <c r="G518" s="305">
        <v>0</v>
      </c>
      <c r="H518" s="305">
        <v>4340</v>
      </c>
      <c r="I518" s="305">
        <v>0</v>
      </c>
      <c r="K518" s="3" t="s">
        <v>982</v>
      </c>
      <c r="L518" s="365"/>
      <c r="M518" s="2">
        <v>0</v>
      </c>
      <c r="N518" s="311">
        <v>632</v>
      </c>
      <c r="O518" s="310" t="s">
        <v>55</v>
      </c>
      <c r="V518" s="1">
        <v>1</v>
      </c>
      <c r="W518" s="1" t="s">
        <v>370</v>
      </c>
      <c r="X518" s="1" t="s">
        <v>1423</v>
      </c>
      <c r="Y518" s="2">
        <v>0</v>
      </c>
      <c r="Z518" s="2">
        <v>0</v>
      </c>
      <c r="AA518" s="2">
        <v>0</v>
      </c>
      <c r="AB518" s="2">
        <v>0</v>
      </c>
      <c r="AC518" s="2">
        <v>4340</v>
      </c>
      <c r="AD518" s="2">
        <v>0</v>
      </c>
      <c r="AE518" s="2">
        <v>0</v>
      </c>
      <c r="AF518" s="2">
        <v>0</v>
      </c>
      <c r="AG518" s="2">
        <v>0</v>
      </c>
      <c r="AH518" s="2">
        <v>0</v>
      </c>
      <c r="AI518" s="2">
        <v>0</v>
      </c>
      <c r="AJ518" s="2">
        <v>0</v>
      </c>
      <c r="AK518" s="2">
        <v>0</v>
      </c>
      <c r="AL518" s="2">
        <v>0</v>
      </c>
      <c r="AM518" s="2">
        <v>0</v>
      </c>
      <c r="AN518" s="2">
        <v>0</v>
      </c>
      <c r="AO518" s="2">
        <v>0</v>
      </c>
      <c r="AP518" s="2">
        <v>0</v>
      </c>
      <c r="AQ518" s="2">
        <v>0</v>
      </c>
      <c r="AR518" s="2">
        <v>0</v>
      </c>
      <c r="AS518" s="2">
        <v>0</v>
      </c>
      <c r="AT518" s="2">
        <v>0</v>
      </c>
      <c r="AU518" s="2">
        <v>0</v>
      </c>
      <c r="AV518" s="2">
        <v>0</v>
      </c>
      <c r="AW518" s="1">
        <v>514</v>
      </c>
    </row>
    <row r="519" spans="1:49" ht="12.75">
      <c r="A519" s="5">
        <v>6612</v>
      </c>
      <c r="B519" s="2" t="s">
        <v>197</v>
      </c>
      <c r="C519" s="305">
        <v>0</v>
      </c>
      <c r="D519" s="305">
        <v>0</v>
      </c>
      <c r="E519" s="305">
        <v>0</v>
      </c>
      <c r="F519" s="305">
        <v>3371.2</v>
      </c>
      <c r="G519" s="305">
        <v>0</v>
      </c>
      <c r="H519" s="305">
        <v>14698.45</v>
      </c>
      <c r="I519" s="305">
        <v>0</v>
      </c>
      <c r="K519" s="3" t="s">
        <v>982</v>
      </c>
      <c r="L519" s="365"/>
      <c r="M519" s="2">
        <v>3371.2</v>
      </c>
      <c r="N519" s="311">
        <v>632</v>
      </c>
      <c r="O519" s="310" t="s">
        <v>55</v>
      </c>
      <c r="V519" s="1">
        <v>1</v>
      </c>
      <c r="W519" s="1" t="s">
        <v>370</v>
      </c>
      <c r="X519" s="1" t="s">
        <v>1423</v>
      </c>
      <c r="Y519" s="2">
        <v>1081.5</v>
      </c>
      <c r="Z519" s="2">
        <v>1081.5</v>
      </c>
      <c r="AA519" s="2">
        <v>5576.5</v>
      </c>
      <c r="AB519" s="2">
        <v>2633</v>
      </c>
      <c r="AC519" s="2">
        <v>1081.5</v>
      </c>
      <c r="AD519" s="2">
        <v>1081.45</v>
      </c>
      <c r="AE519" s="2">
        <v>1081.5</v>
      </c>
      <c r="AF519" s="2">
        <v>1081.5</v>
      </c>
      <c r="AG519" s="2">
        <v>2822.6</v>
      </c>
      <c r="AH519" s="2">
        <v>-2822.6</v>
      </c>
      <c r="AI519" s="2">
        <v>0</v>
      </c>
      <c r="AJ519" s="2">
        <v>0</v>
      </c>
      <c r="AK519" s="2">
        <v>0</v>
      </c>
      <c r="AL519" s="2">
        <v>2083.2</v>
      </c>
      <c r="AM519" s="2">
        <v>0</v>
      </c>
      <c r="AN519" s="2">
        <v>0</v>
      </c>
      <c r="AO519" s="2">
        <v>0</v>
      </c>
      <c r="AP519" s="2">
        <v>1288</v>
      </c>
      <c r="AQ519" s="2">
        <v>0</v>
      </c>
      <c r="AR519" s="2">
        <v>0</v>
      </c>
      <c r="AS519" s="2">
        <v>0</v>
      </c>
      <c r="AT519" s="2">
        <v>0</v>
      </c>
      <c r="AU519" s="2">
        <v>0</v>
      </c>
      <c r="AV519" s="2">
        <v>0</v>
      </c>
      <c r="AW519" s="1">
        <v>515</v>
      </c>
    </row>
    <row r="520" spans="1:49" ht="12.75">
      <c r="A520" s="5">
        <v>6640</v>
      </c>
      <c r="B520" s="2" t="s">
        <v>2</v>
      </c>
      <c r="C520" s="305">
        <v>25369.51</v>
      </c>
      <c r="D520" s="305">
        <v>0</v>
      </c>
      <c r="E520" s="305">
        <v>2135.2</v>
      </c>
      <c r="F520" s="305">
        <v>35156.45</v>
      </c>
      <c r="G520" s="305">
        <v>0</v>
      </c>
      <c r="H520" s="305">
        <v>57285.74</v>
      </c>
      <c r="I520" s="305">
        <v>0</v>
      </c>
      <c r="K520" s="3" t="s">
        <v>982</v>
      </c>
      <c r="L520" s="365"/>
      <c r="M520" s="2">
        <v>35156.45</v>
      </c>
      <c r="N520" s="311">
        <v>632</v>
      </c>
      <c r="O520" s="310" t="s">
        <v>55</v>
      </c>
      <c r="V520" s="1">
        <v>1</v>
      </c>
      <c r="W520" s="1" t="s">
        <v>370</v>
      </c>
      <c r="X520" s="1" t="s">
        <v>1423</v>
      </c>
      <c r="Y520" s="2">
        <v>4727.24</v>
      </c>
      <c r="Z520" s="2">
        <v>1120.72</v>
      </c>
      <c r="AA520" s="2">
        <v>2575.44</v>
      </c>
      <c r="AB520" s="2">
        <v>5832.62</v>
      </c>
      <c r="AC520" s="2">
        <v>0</v>
      </c>
      <c r="AD520" s="2">
        <v>1428.08</v>
      </c>
      <c r="AE520" s="2">
        <v>0</v>
      </c>
      <c r="AF520" s="2">
        <v>2235.05</v>
      </c>
      <c r="AG520" s="2">
        <v>0</v>
      </c>
      <c r="AH520" s="2">
        <v>35224.69</v>
      </c>
      <c r="AI520" s="2">
        <v>2006.7</v>
      </c>
      <c r="AJ520" s="2">
        <v>2135.2</v>
      </c>
      <c r="AK520" s="2">
        <v>2830.55</v>
      </c>
      <c r="AL520" s="2">
        <v>666.7</v>
      </c>
      <c r="AM520" s="2">
        <v>17.6</v>
      </c>
      <c r="AN520" s="2">
        <v>0</v>
      </c>
      <c r="AO520" s="2">
        <v>0</v>
      </c>
      <c r="AP520" s="2">
        <v>4247.63</v>
      </c>
      <c r="AQ520" s="2">
        <v>21.12</v>
      </c>
      <c r="AR520" s="2">
        <v>1081.01</v>
      </c>
      <c r="AS520" s="2">
        <v>21.12</v>
      </c>
      <c r="AT520" s="2">
        <v>394.08</v>
      </c>
      <c r="AU520" s="2">
        <v>507.13</v>
      </c>
      <c r="AV520" s="2">
        <v>25369.51</v>
      </c>
      <c r="AW520" s="1">
        <v>516</v>
      </c>
    </row>
    <row r="521" spans="1:49" ht="12.75">
      <c r="A521" s="5">
        <v>6650</v>
      </c>
      <c r="B521" s="2" t="s">
        <v>198</v>
      </c>
      <c r="C521" s="305">
        <v>910.6</v>
      </c>
      <c r="D521" s="305">
        <v>0</v>
      </c>
      <c r="E521" s="305">
        <v>0</v>
      </c>
      <c r="F521" s="305">
        <v>910.6</v>
      </c>
      <c r="G521" s="305">
        <v>0</v>
      </c>
      <c r="H521" s="305">
        <v>0</v>
      </c>
      <c r="I521" s="305">
        <v>0</v>
      </c>
      <c r="K521" s="3" t="s">
        <v>982</v>
      </c>
      <c r="L521" s="365"/>
      <c r="M521" s="2">
        <v>910.6</v>
      </c>
      <c r="N521" s="311">
        <v>627</v>
      </c>
      <c r="O521" s="310" t="s">
        <v>49</v>
      </c>
      <c r="V521" s="1">
        <v>1</v>
      </c>
      <c r="W521" s="1" t="s">
        <v>370</v>
      </c>
      <c r="X521" s="1" t="s">
        <v>1414</v>
      </c>
      <c r="Y521" s="2">
        <v>0</v>
      </c>
      <c r="Z521" s="2">
        <v>0</v>
      </c>
      <c r="AA521" s="2">
        <v>0</v>
      </c>
      <c r="AB521" s="2">
        <v>0</v>
      </c>
      <c r="AC521" s="2">
        <v>0</v>
      </c>
      <c r="AD521" s="2">
        <v>0</v>
      </c>
      <c r="AE521" s="2">
        <v>0</v>
      </c>
      <c r="AF521" s="2">
        <v>0</v>
      </c>
      <c r="AG521" s="2">
        <v>0</v>
      </c>
      <c r="AH521" s="2">
        <v>0</v>
      </c>
      <c r="AI521" s="2">
        <v>0</v>
      </c>
      <c r="AJ521" s="2">
        <v>0</v>
      </c>
      <c r="AK521" s="2">
        <v>0</v>
      </c>
      <c r="AL521" s="2">
        <v>0</v>
      </c>
      <c r="AM521" s="2">
        <v>0</v>
      </c>
      <c r="AN521" s="2">
        <v>0</v>
      </c>
      <c r="AO521" s="2">
        <v>0</v>
      </c>
      <c r="AP521" s="2">
        <v>0</v>
      </c>
      <c r="AQ521" s="2">
        <v>0</v>
      </c>
      <c r="AR521" s="2">
        <v>0</v>
      </c>
      <c r="AS521" s="2">
        <v>0</v>
      </c>
      <c r="AT521" s="2">
        <v>0</v>
      </c>
      <c r="AU521" s="2">
        <v>0</v>
      </c>
      <c r="AV521" s="2">
        <v>910.6</v>
      </c>
      <c r="AW521" s="1">
        <v>517</v>
      </c>
    </row>
    <row r="522" spans="1:49" ht="12.75">
      <c r="A522" s="5">
        <v>6710</v>
      </c>
      <c r="B522" s="2" t="s">
        <v>1424</v>
      </c>
      <c r="C522" s="305">
        <v>2317.69</v>
      </c>
      <c r="D522" s="305">
        <v>0</v>
      </c>
      <c r="E522" s="305">
        <v>293.3</v>
      </c>
      <c r="F522" s="305">
        <v>20640.72</v>
      </c>
      <c r="G522" s="305">
        <v>0</v>
      </c>
      <c r="H522" s="305">
        <v>9814.83</v>
      </c>
      <c r="I522" s="305">
        <v>0</v>
      </c>
      <c r="K522" s="3" t="s">
        <v>982</v>
      </c>
      <c r="L522" s="365"/>
      <c r="M522" s="2">
        <v>20640.72</v>
      </c>
      <c r="N522" s="311">
        <v>633</v>
      </c>
      <c r="O522" s="310" t="s">
        <v>57</v>
      </c>
      <c r="V522" s="1">
        <v>1</v>
      </c>
      <c r="W522" s="1" t="s">
        <v>370</v>
      </c>
      <c r="X522" s="1" t="s">
        <v>1421</v>
      </c>
      <c r="Y522" s="2">
        <v>1353</v>
      </c>
      <c r="Z522" s="2">
        <v>1075.01</v>
      </c>
      <c r="AA522" s="2">
        <v>1739.27</v>
      </c>
      <c r="AB522" s="2">
        <v>549.27</v>
      </c>
      <c r="AC522" s="2">
        <v>549.27</v>
      </c>
      <c r="AD522" s="2">
        <v>549.27</v>
      </c>
      <c r="AE522" s="2">
        <v>549.27</v>
      </c>
      <c r="AF522" s="2">
        <v>549.27</v>
      </c>
      <c r="AG522" s="2">
        <v>549.3</v>
      </c>
      <c r="AH522" s="2">
        <v>1509.3</v>
      </c>
      <c r="AI522" s="2">
        <v>549.3</v>
      </c>
      <c r="AJ522" s="2">
        <v>293.3</v>
      </c>
      <c r="AK522" s="2">
        <v>2110.3</v>
      </c>
      <c r="AL522" s="2">
        <v>1189.3</v>
      </c>
      <c r="AM522" s="2">
        <v>847.39</v>
      </c>
      <c r="AN522" s="2">
        <v>800.7</v>
      </c>
      <c r="AO522" s="2">
        <v>1685.71</v>
      </c>
      <c r="AP522" s="2">
        <v>805.69</v>
      </c>
      <c r="AQ522" s="2">
        <v>805.69</v>
      </c>
      <c r="AR522" s="2">
        <v>805.69</v>
      </c>
      <c r="AS522" s="2">
        <v>874.49</v>
      </c>
      <c r="AT522" s="2">
        <v>5622.38</v>
      </c>
      <c r="AU522" s="2">
        <v>2775.69</v>
      </c>
      <c r="AV522" s="2">
        <v>2317.69</v>
      </c>
      <c r="AW522" s="1">
        <v>518</v>
      </c>
    </row>
    <row r="523" spans="1:49" ht="12.75">
      <c r="A523" s="5">
        <v>6720</v>
      </c>
      <c r="B523" s="2" t="s">
        <v>3</v>
      </c>
      <c r="C523" s="305">
        <v>11829.5</v>
      </c>
      <c r="D523" s="305">
        <v>0</v>
      </c>
      <c r="E523" s="305">
        <v>11759</v>
      </c>
      <c r="F523" s="305">
        <v>143477</v>
      </c>
      <c r="G523" s="305">
        <v>0</v>
      </c>
      <c r="H523" s="305">
        <v>147396.8</v>
      </c>
      <c r="I523" s="305">
        <v>0</v>
      </c>
      <c r="K523" s="3" t="s">
        <v>982</v>
      </c>
      <c r="L523" s="365"/>
      <c r="M523" s="2">
        <v>143477</v>
      </c>
      <c r="N523" s="311">
        <v>635</v>
      </c>
      <c r="O523" s="310" t="s">
        <v>58</v>
      </c>
      <c r="V523" s="1">
        <v>1</v>
      </c>
      <c r="W523" s="1" t="s">
        <v>370</v>
      </c>
      <c r="X523" s="1" t="s">
        <v>1425</v>
      </c>
      <c r="Y523" s="2">
        <v>14086.8</v>
      </c>
      <c r="Z523" s="2">
        <v>11869</v>
      </c>
      <c r="AA523" s="2">
        <v>12359</v>
      </c>
      <c r="AB523" s="2">
        <v>11669</v>
      </c>
      <c r="AC523" s="2">
        <v>12951</v>
      </c>
      <c r="AD523" s="2">
        <v>12450</v>
      </c>
      <c r="AE523" s="2">
        <v>11913</v>
      </c>
      <c r="AF523" s="2">
        <v>12365</v>
      </c>
      <c r="AG523" s="2">
        <v>12223</v>
      </c>
      <c r="AH523" s="2">
        <v>12065</v>
      </c>
      <c r="AI523" s="2">
        <v>11687</v>
      </c>
      <c r="AJ523" s="2">
        <v>11759</v>
      </c>
      <c r="AK523" s="2">
        <v>11999.5</v>
      </c>
      <c r="AL523" s="2">
        <v>11440</v>
      </c>
      <c r="AM523" s="2">
        <v>12153.5</v>
      </c>
      <c r="AN523" s="2">
        <v>11578.5</v>
      </c>
      <c r="AO523" s="2">
        <v>13887</v>
      </c>
      <c r="AP523" s="2">
        <v>11826.5</v>
      </c>
      <c r="AQ523" s="2">
        <v>12038</v>
      </c>
      <c r="AR523" s="2">
        <v>11522</v>
      </c>
      <c r="AS523" s="2">
        <v>11503</v>
      </c>
      <c r="AT523" s="2">
        <v>11886</v>
      </c>
      <c r="AU523" s="2">
        <v>11813.5</v>
      </c>
      <c r="AV523" s="2">
        <v>11829.5</v>
      </c>
      <c r="AW523" s="1">
        <v>519</v>
      </c>
    </row>
    <row r="524" spans="1:49" ht="12.75">
      <c r="A524" s="5">
        <v>6721</v>
      </c>
      <c r="B524" s="2" t="s">
        <v>317</v>
      </c>
      <c r="C524" s="305">
        <v>0</v>
      </c>
      <c r="D524" s="305">
        <v>0</v>
      </c>
      <c r="E524" s="305">
        <v>-19000</v>
      </c>
      <c r="F524" s="305">
        <v>0</v>
      </c>
      <c r="G524" s="305">
        <v>0</v>
      </c>
      <c r="H524" s="305">
        <v>-19000</v>
      </c>
      <c r="I524" s="305">
        <v>0</v>
      </c>
      <c r="K524" s="3" t="s">
        <v>982</v>
      </c>
      <c r="L524" s="365"/>
      <c r="M524" s="2">
        <v>0</v>
      </c>
      <c r="N524" s="311">
        <v>635</v>
      </c>
      <c r="O524" s="310" t="s">
        <v>58</v>
      </c>
      <c r="V524" s="1">
        <v>1</v>
      </c>
      <c r="W524" s="1" t="s">
        <v>370</v>
      </c>
      <c r="X524" s="1" t="s">
        <v>1425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2">
        <v>-19000</v>
      </c>
      <c r="AK524" s="2">
        <v>0</v>
      </c>
      <c r="AL524" s="2">
        <v>0</v>
      </c>
      <c r="AM524" s="2">
        <v>0</v>
      </c>
      <c r="AN524" s="2">
        <v>0</v>
      </c>
      <c r="AO524" s="2">
        <v>0</v>
      </c>
      <c r="AP524" s="2">
        <v>0</v>
      </c>
      <c r="AQ524" s="2">
        <v>0</v>
      </c>
      <c r="AR524" s="2">
        <v>0</v>
      </c>
      <c r="AS524" s="2">
        <v>0</v>
      </c>
      <c r="AT524" s="2">
        <v>0</v>
      </c>
      <c r="AU524" s="2">
        <v>0</v>
      </c>
      <c r="AV524" s="2">
        <v>0</v>
      </c>
      <c r="AW524" s="1">
        <v>520</v>
      </c>
    </row>
    <row r="525" spans="1:49" ht="12.75">
      <c r="A525" s="5">
        <v>6722</v>
      </c>
      <c r="B525" s="2" t="s">
        <v>318</v>
      </c>
      <c r="C525" s="305">
        <v>0</v>
      </c>
      <c r="D525" s="305">
        <v>0</v>
      </c>
      <c r="E525" s="305">
        <v>19000</v>
      </c>
      <c r="F525" s="305">
        <v>0</v>
      </c>
      <c r="G525" s="305">
        <v>0</v>
      </c>
      <c r="H525" s="305">
        <v>19000</v>
      </c>
      <c r="I525" s="305">
        <v>0</v>
      </c>
      <c r="K525" s="3" t="s">
        <v>982</v>
      </c>
      <c r="L525" s="365"/>
      <c r="M525" s="2">
        <v>0</v>
      </c>
      <c r="N525" s="311">
        <v>635</v>
      </c>
      <c r="O525" s="310" t="s">
        <v>58</v>
      </c>
      <c r="V525" s="1">
        <v>1</v>
      </c>
      <c r="W525" s="1" t="s">
        <v>370</v>
      </c>
      <c r="X525" s="1" t="s">
        <v>1425</v>
      </c>
      <c r="Y525" s="2">
        <v>0</v>
      </c>
      <c r="Z525" s="2">
        <v>0</v>
      </c>
      <c r="AA525" s="2">
        <v>0</v>
      </c>
      <c r="AB525" s="2">
        <v>0</v>
      </c>
      <c r="AC525" s="2">
        <v>0</v>
      </c>
      <c r="AD525" s="2">
        <v>0</v>
      </c>
      <c r="AE525" s="2">
        <v>0</v>
      </c>
      <c r="AF525" s="2">
        <v>0</v>
      </c>
      <c r="AG525" s="2">
        <v>0</v>
      </c>
      <c r="AH525" s="2">
        <v>0</v>
      </c>
      <c r="AI525" s="2">
        <v>0</v>
      </c>
      <c r="AJ525" s="2">
        <v>19000</v>
      </c>
      <c r="AK525" s="2">
        <v>0</v>
      </c>
      <c r="AL525" s="2">
        <v>0</v>
      </c>
      <c r="AM525" s="2">
        <v>0</v>
      </c>
      <c r="AN525" s="2">
        <v>0</v>
      </c>
      <c r="AO525" s="2">
        <v>0</v>
      </c>
      <c r="AP525" s="2">
        <v>0</v>
      </c>
      <c r="AQ525" s="2">
        <v>0</v>
      </c>
      <c r="AR525" s="2">
        <v>0</v>
      </c>
      <c r="AS525" s="2">
        <v>0</v>
      </c>
      <c r="AT525" s="2">
        <v>0</v>
      </c>
      <c r="AU525" s="2">
        <v>0</v>
      </c>
      <c r="AV525" s="2">
        <v>0</v>
      </c>
      <c r="AW525" s="1">
        <v>521</v>
      </c>
    </row>
    <row r="526" spans="1:49" ht="12.75">
      <c r="A526" s="5">
        <v>6730</v>
      </c>
      <c r="B526" s="2" t="s">
        <v>116</v>
      </c>
      <c r="C526" s="305">
        <v>0</v>
      </c>
      <c r="D526" s="305">
        <v>0</v>
      </c>
      <c r="E526" s="305">
        <v>0</v>
      </c>
      <c r="F526" s="305">
        <v>8472.8</v>
      </c>
      <c r="G526" s="305">
        <v>0</v>
      </c>
      <c r="H526" s="305">
        <v>8111.2</v>
      </c>
      <c r="I526" s="305">
        <v>0</v>
      </c>
      <c r="K526" s="3" t="s">
        <v>982</v>
      </c>
      <c r="L526" s="365"/>
      <c r="M526" s="2">
        <v>8472.8</v>
      </c>
      <c r="N526" s="311">
        <v>635</v>
      </c>
      <c r="O526" s="310" t="s">
        <v>58</v>
      </c>
      <c r="V526" s="1">
        <v>1</v>
      </c>
      <c r="W526" s="1" t="s">
        <v>370</v>
      </c>
      <c r="X526" s="1" t="s">
        <v>1425</v>
      </c>
      <c r="Y526" s="2">
        <v>0</v>
      </c>
      <c r="Z526" s="2">
        <v>0</v>
      </c>
      <c r="AA526" s="2">
        <v>0</v>
      </c>
      <c r="AB526" s="2">
        <v>0</v>
      </c>
      <c r="AC526" s="2">
        <v>0</v>
      </c>
      <c r="AD526" s="2">
        <v>0</v>
      </c>
      <c r="AE526" s="2">
        <v>8111.2</v>
      </c>
      <c r="AF526" s="2">
        <v>0</v>
      </c>
      <c r="AG526" s="2">
        <v>0</v>
      </c>
      <c r="AH526" s="2">
        <v>0</v>
      </c>
      <c r="AI526" s="2">
        <v>0</v>
      </c>
      <c r="AJ526" s="2">
        <v>0</v>
      </c>
      <c r="AK526" s="2">
        <v>0</v>
      </c>
      <c r="AL526" s="2">
        <v>0</v>
      </c>
      <c r="AM526" s="2">
        <v>0</v>
      </c>
      <c r="AN526" s="2">
        <v>0</v>
      </c>
      <c r="AO526" s="2">
        <v>0</v>
      </c>
      <c r="AP526" s="2">
        <v>8472.8</v>
      </c>
      <c r="AQ526" s="2">
        <v>0</v>
      </c>
      <c r="AR526" s="2">
        <v>0</v>
      </c>
      <c r="AS526" s="2">
        <v>0</v>
      </c>
      <c r="AT526" s="2">
        <v>0</v>
      </c>
      <c r="AU526" s="2">
        <v>0</v>
      </c>
      <c r="AV526" s="2">
        <v>0</v>
      </c>
      <c r="AW526" s="1">
        <v>522</v>
      </c>
    </row>
    <row r="527" spans="1:49" ht="12.75">
      <c r="A527" s="5">
        <v>6740</v>
      </c>
      <c r="B527" s="2" t="s">
        <v>99</v>
      </c>
      <c r="C527" s="305">
        <v>8000</v>
      </c>
      <c r="D527" s="305">
        <v>0</v>
      </c>
      <c r="E527" s="305">
        <v>6000</v>
      </c>
      <c r="F527" s="305">
        <v>33950</v>
      </c>
      <c r="G527" s="305">
        <v>0</v>
      </c>
      <c r="H527" s="305">
        <v>31850</v>
      </c>
      <c r="I527" s="305">
        <v>0</v>
      </c>
      <c r="K527" s="3" t="s">
        <v>982</v>
      </c>
      <c r="L527" s="365"/>
      <c r="M527" s="2">
        <v>33950</v>
      </c>
      <c r="N527" s="311">
        <v>635</v>
      </c>
      <c r="O527" s="310" t="s">
        <v>58</v>
      </c>
      <c r="V527" s="1">
        <v>1</v>
      </c>
      <c r="W527" s="1" t="s">
        <v>370</v>
      </c>
      <c r="X527" s="1" t="s">
        <v>1425</v>
      </c>
      <c r="Y527" s="2">
        <v>0</v>
      </c>
      <c r="Z527" s="2">
        <v>0</v>
      </c>
      <c r="AA527" s="2">
        <v>22000</v>
      </c>
      <c r="AB527" s="2">
        <v>0</v>
      </c>
      <c r="AC527" s="2">
        <v>0</v>
      </c>
      <c r="AD527" s="2">
        <v>0</v>
      </c>
      <c r="AE527" s="2">
        <v>0</v>
      </c>
      <c r="AF527" s="2">
        <v>0</v>
      </c>
      <c r="AG527" s="2">
        <v>3850</v>
      </c>
      <c r="AH527" s="2">
        <v>0</v>
      </c>
      <c r="AI527" s="2">
        <v>0</v>
      </c>
      <c r="AJ527" s="2">
        <v>6000</v>
      </c>
      <c r="AK527" s="2">
        <v>0</v>
      </c>
      <c r="AL527" s="2">
        <v>0</v>
      </c>
      <c r="AM527" s="2">
        <v>22000</v>
      </c>
      <c r="AN527" s="2">
        <v>0</v>
      </c>
      <c r="AO527" s="2">
        <v>0</v>
      </c>
      <c r="AP527" s="2">
        <v>3950</v>
      </c>
      <c r="AQ527" s="2">
        <v>0</v>
      </c>
      <c r="AR527" s="2">
        <v>0</v>
      </c>
      <c r="AS527" s="2">
        <v>0</v>
      </c>
      <c r="AT527" s="2">
        <v>0</v>
      </c>
      <c r="AU527" s="2">
        <v>0</v>
      </c>
      <c r="AV527" s="2">
        <v>8000</v>
      </c>
      <c r="AW527" s="1">
        <v>523</v>
      </c>
    </row>
    <row r="528" spans="1:49" ht="12.75">
      <c r="A528" s="5">
        <v>6750</v>
      </c>
      <c r="B528" s="2" t="s">
        <v>1426</v>
      </c>
      <c r="C528" s="305">
        <v>0</v>
      </c>
      <c r="D528" s="305">
        <v>0</v>
      </c>
      <c r="E528" s="305">
        <v>0</v>
      </c>
      <c r="F528" s="305">
        <v>2016</v>
      </c>
      <c r="G528" s="305">
        <v>0</v>
      </c>
      <c r="H528" s="305">
        <v>2777</v>
      </c>
      <c r="I528" s="305">
        <v>0</v>
      </c>
      <c r="K528" s="3" t="s">
        <v>982</v>
      </c>
      <c r="L528" s="365"/>
      <c r="M528" s="2">
        <v>2016</v>
      </c>
      <c r="N528" s="311">
        <v>635</v>
      </c>
      <c r="O528" s="310" t="s">
        <v>58</v>
      </c>
      <c r="V528" s="1">
        <v>1</v>
      </c>
      <c r="W528" s="1" t="s">
        <v>370</v>
      </c>
      <c r="X528" s="1" t="s">
        <v>1425</v>
      </c>
      <c r="Y528" s="2">
        <v>0</v>
      </c>
      <c r="Z528" s="2">
        <v>0</v>
      </c>
      <c r="AA528" s="2">
        <v>0</v>
      </c>
      <c r="AB528" s="2">
        <v>0</v>
      </c>
      <c r="AC528" s="2">
        <v>0</v>
      </c>
      <c r="AD528" s="2">
        <v>0</v>
      </c>
      <c r="AE528" s="2">
        <v>0</v>
      </c>
      <c r="AF528" s="2">
        <v>1308</v>
      </c>
      <c r="AG528" s="2">
        <v>0</v>
      </c>
      <c r="AH528" s="2">
        <v>1469</v>
      </c>
      <c r="AI528" s="2">
        <v>0</v>
      </c>
      <c r="AJ528" s="2">
        <v>0</v>
      </c>
      <c r="AK528" s="2">
        <v>0</v>
      </c>
      <c r="AL528" s="2">
        <v>0</v>
      </c>
      <c r="AM528" s="2">
        <v>0</v>
      </c>
      <c r="AN528" s="2">
        <v>0</v>
      </c>
      <c r="AO528" s="2">
        <v>0</v>
      </c>
      <c r="AP528" s="2">
        <v>0</v>
      </c>
      <c r="AQ528" s="2">
        <v>0</v>
      </c>
      <c r="AR528" s="2">
        <v>1548</v>
      </c>
      <c r="AS528" s="2">
        <v>0</v>
      </c>
      <c r="AT528" s="2">
        <v>0</v>
      </c>
      <c r="AU528" s="2">
        <v>468</v>
      </c>
      <c r="AV528" s="2">
        <v>0</v>
      </c>
      <c r="AW528" s="1">
        <v>524</v>
      </c>
    </row>
    <row r="529" spans="1:49" ht="12.75">
      <c r="A529" s="5">
        <v>6810</v>
      </c>
      <c r="B529" s="2" t="s">
        <v>60</v>
      </c>
      <c r="C529" s="305">
        <v>450.4</v>
      </c>
      <c r="D529" s="305">
        <v>0</v>
      </c>
      <c r="E529" s="305">
        <v>1358.4</v>
      </c>
      <c r="F529" s="305">
        <v>4251.41</v>
      </c>
      <c r="G529" s="305">
        <v>0</v>
      </c>
      <c r="H529" s="305">
        <v>7121.01</v>
      </c>
      <c r="I529" s="305">
        <v>0</v>
      </c>
      <c r="K529" s="3" t="s">
        <v>982</v>
      </c>
      <c r="L529" s="365"/>
      <c r="M529" s="2">
        <v>4251.41</v>
      </c>
      <c r="N529" s="311">
        <v>636</v>
      </c>
      <c r="O529" s="310" t="s">
        <v>60</v>
      </c>
      <c r="V529" s="1">
        <v>1</v>
      </c>
      <c r="W529" s="1" t="s">
        <v>370</v>
      </c>
      <c r="X529" s="1" t="s">
        <v>1427</v>
      </c>
      <c r="Y529" s="2">
        <v>124</v>
      </c>
      <c r="Z529" s="2">
        <v>305.2</v>
      </c>
      <c r="AA529" s="2">
        <v>274.4</v>
      </c>
      <c r="AB529" s="2">
        <v>103.2</v>
      </c>
      <c r="AC529" s="2">
        <v>1134.26</v>
      </c>
      <c r="AD529" s="2">
        <v>1436.93</v>
      </c>
      <c r="AE529" s="2">
        <v>1005.37</v>
      </c>
      <c r="AF529" s="2">
        <v>495.5</v>
      </c>
      <c r="AG529" s="2">
        <v>0</v>
      </c>
      <c r="AH529" s="2">
        <v>0</v>
      </c>
      <c r="AI529" s="2">
        <v>883.75</v>
      </c>
      <c r="AJ529" s="2">
        <v>1358.4</v>
      </c>
      <c r="AK529" s="2">
        <v>0</v>
      </c>
      <c r="AL529" s="2">
        <v>427.88</v>
      </c>
      <c r="AM529" s="2">
        <v>0</v>
      </c>
      <c r="AN529" s="2">
        <v>256.25</v>
      </c>
      <c r="AO529" s="2">
        <v>0</v>
      </c>
      <c r="AP529" s="2">
        <v>0</v>
      </c>
      <c r="AQ529" s="2">
        <v>979.12</v>
      </c>
      <c r="AR529" s="2">
        <v>421.33</v>
      </c>
      <c r="AS529" s="2">
        <v>260.3</v>
      </c>
      <c r="AT529" s="2">
        <v>880.9</v>
      </c>
      <c r="AU529" s="2">
        <v>575.23</v>
      </c>
      <c r="AV529" s="2">
        <v>450.4</v>
      </c>
      <c r="AW529" s="1">
        <v>525</v>
      </c>
    </row>
    <row r="530" spans="1:49" ht="12.75">
      <c r="A530" s="5">
        <v>6860</v>
      </c>
      <c r="B530" s="2" t="s">
        <v>1428</v>
      </c>
      <c r="C530" s="305">
        <v>820</v>
      </c>
      <c r="D530" s="305">
        <v>0</v>
      </c>
      <c r="E530" s="305">
        <v>820</v>
      </c>
      <c r="F530" s="305">
        <v>1640</v>
      </c>
      <c r="G530" s="305">
        <v>0</v>
      </c>
      <c r="H530" s="305">
        <v>1280</v>
      </c>
      <c r="I530" s="305">
        <v>0</v>
      </c>
      <c r="K530" s="3" t="s">
        <v>982</v>
      </c>
      <c r="L530" s="365"/>
      <c r="M530" s="2">
        <v>1640</v>
      </c>
      <c r="N530" s="311">
        <v>636</v>
      </c>
      <c r="O530" s="310" t="s">
        <v>60</v>
      </c>
      <c r="V530" s="1">
        <v>1</v>
      </c>
      <c r="W530" s="1" t="s">
        <v>370</v>
      </c>
      <c r="X530" s="1" t="s">
        <v>1427</v>
      </c>
      <c r="Y530" s="2">
        <v>0</v>
      </c>
      <c r="Z530" s="2">
        <v>0</v>
      </c>
      <c r="AA530" s="2">
        <v>0</v>
      </c>
      <c r="AB530" s="2">
        <v>0</v>
      </c>
      <c r="AC530" s="2">
        <v>460</v>
      </c>
      <c r="AD530" s="2">
        <v>0</v>
      </c>
      <c r="AE530" s="2">
        <v>0</v>
      </c>
      <c r="AF530" s="2">
        <v>0</v>
      </c>
      <c r="AG530" s="2">
        <v>0</v>
      </c>
      <c r="AH530" s="2">
        <v>0</v>
      </c>
      <c r="AI530" s="2">
        <v>0</v>
      </c>
      <c r="AJ530" s="2">
        <v>820</v>
      </c>
      <c r="AK530" s="2">
        <v>0</v>
      </c>
      <c r="AL530" s="2">
        <v>0</v>
      </c>
      <c r="AM530" s="2">
        <v>0</v>
      </c>
      <c r="AN530" s="2">
        <v>0</v>
      </c>
      <c r="AO530" s="2">
        <v>0</v>
      </c>
      <c r="AP530" s="2">
        <v>0</v>
      </c>
      <c r="AQ530" s="2">
        <v>0</v>
      </c>
      <c r="AR530" s="2">
        <v>0</v>
      </c>
      <c r="AS530" s="2">
        <v>820</v>
      </c>
      <c r="AT530" s="2">
        <v>0</v>
      </c>
      <c r="AU530" s="2">
        <v>0</v>
      </c>
      <c r="AV530" s="2">
        <v>820</v>
      </c>
      <c r="AW530" s="1">
        <v>526</v>
      </c>
    </row>
    <row r="531" spans="1:49" ht="12.75">
      <c r="A531" s="5">
        <v>6900</v>
      </c>
      <c r="B531" s="2" t="s">
        <v>442</v>
      </c>
      <c r="C531" s="305">
        <v>612.76</v>
      </c>
      <c r="D531" s="305">
        <v>0</v>
      </c>
      <c r="E531" s="305">
        <v>463.78</v>
      </c>
      <c r="F531" s="305">
        <v>13965.68</v>
      </c>
      <c r="G531" s="305">
        <v>0</v>
      </c>
      <c r="H531" s="305">
        <v>14386.54</v>
      </c>
      <c r="I531" s="305">
        <v>0</v>
      </c>
      <c r="K531" s="3" t="s">
        <v>982</v>
      </c>
      <c r="L531" s="365"/>
      <c r="M531" s="2">
        <v>13965.68</v>
      </c>
      <c r="N531" s="311">
        <v>637</v>
      </c>
      <c r="O531" s="310" t="s">
        <v>33</v>
      </c>
      <c r="V531" s="1">
        <v>1</v>
      </c>
      <c r="W531" s="1" t="s">
        <v>370</v>
      </c>
      <c r="X531" s="1" t="s">
        <v>1429</v>
      </c>
      <c r="Y531" s="2">
        <v>0</v>
      </c>
      <c r="Z531" s="2">
        <v>364</v>
      </c>
      <c r="AA531" s="2">
        <v>364</v>
      </c>
      <c r="AB531" s="2">
        <v>364</v>
      </c>
      <c r="AC531" s="2">
        <v>4039.55</v>
      </c>
      <c r="AD531" s="2">
        <v>364</v>
      </c>
      <c r="AE531" s="2">
        <v>364</v>
      </c>
      <c r="AF531" s="2">
        <v>3648.32</v>
      </c>
      <c r="AG531" s="2">
        <v>364</v>
      </c>
      <c r="AH531" s="2">
        <v>364</v>
      </c>
      <c r="AI531" s="2">
        <v>3686.89</v>
      </c>
      <c r="AJ531" s="2">
        <v>463.78</v>
      </c>
      <c r="AK531" s="2">
        <v>364</v>
      </c>
      <c r="AL531" s="2">
        <v>3541.11</v>
      </c>
      <c r="AM531" s="2">
        <v>364</v>
      </c>
      <c r="AN531" s="2">
        <v>364</v>
      </c>
      <c r="AO531" s="2">
        <v>3621.18</v>
      </c>
      <c r="AP531" s="2">
        <v>364</v>
      </c>
      <c r="AQ531" s="2">
        <v>364</v>
      </c>
      <c r="AR531" s="2">
        <v>3638.93</v>
      </c>
      <c r="AS531" s="2">
        <v>364</v>
      </c>
      <c r="AT531" s="2">
        <v>523.04</v>
      </c>
      <c r="AU531" s="2">
        <v>-155.34</v>
      </c>
      <c r="AV531" s="2">
        <v>612.76</v>
      </c>
      <c r="AW531" s="1">
        <v>527</v>
      </c>
    </row>
    <row r="532" spans="1:49" ht="12.75">
      <c r="A532" s="5">
        <v>6910</v>
      </c>
      <c r="B532" s="2" t="s">
        <v>443</v>
      </c>
      <c r="C532" s="305">
        <v>0</v>
      </c>
      <c r="D532" s="305">
        <v>0</v>
      </c>
      <c r="E532" s="305">
        <v>0</v>
      </c>
      <c r="F532" s="305">
        <v>0</v>
      </c>
      <c r="G532" s="305">
        <v>0</v>
      </c>
      <c r="H532" s="305">
        <v>3787.66</v>
      </c>
      <c r="I532" s="305">
        <v>0</v>
      </c>
      <c r="K532" s="3" t="s">
        <v>982</v>
      </c>
      <c r="L532" s="365"/>
      <c r="M532" s="2">
        <v>0</v>
      </c>
      <c r="N532" s="311">
        <v>637</v>
      </c>
      <c r="O532" s="310" t="s">
        <v>33</v>
      </c>
      <c r="V532" s="1">
        <v>1</v>
      </c>
      <c r="W532" s="1" t="s">
        <v>370</v>
      </c>
      <c r="X532" s="1" t="s">
        <v>1429</v>
      </c>
      <c r="Y532" s="2">
        <v>364</v>
      </c>
      <c r="Z532" s="2">
        <v>3423.66</v>
      </c>
      <c r="AA532" s="2">
        <v>0</v>
      </c>
      <c r="AB532" s="2">
        <v>0</v>
      </c>
      <c r="AC532" s="2">
        <v>0</v>
      </c>
      <c r="AD532" s="2">
        <v>0</v>
      </c>
      <c r="AE532" s="2">
        <v>0</v>
      </c>
      <c r="AF532" s="2">
        <v>0</v>
      </c>
      <c r="AG532" s="2">
        <v>0</v>
      </c>
      <c r="AH532" s="2">
        <v>0</v>
      </c>
      <c r="AI532" s="2">
        <v>0</v>
      </c>
      <c r="AJ532" s="2">
        <v>0</v>
      </c>
      <c r="AK532" s="2">
        <v>0</v>
      </c>
      <c r="AL532" s="2">
        <v>0</v>
      </c>
      <c r="AM532" s="2">
        <v>0</v>
      </c>
      <c r="AN532" s="2">
        <v>0</v>
      </c>
      <c r="AO532" s="2">
        <v>0</v>
      </c>
      <c r="AP532" s="2">
        <v>0</v>
      </c>
      <c r="AQ532" s="2">
        <v>0</v>
      </c>
      <c r="AR532" s="2">
        <v>0</v>
      </c>
      <c r="AS532" s="2">
        <v>0</v>
      </c>
      <c r="AT532" s="2">
        <v>0</v>
      </c>
      <c r="AU532" s="2">
        <v>0</v>
      </c>
      <c r="AV532" s="2">
        <v>0</v>
      </c>
      <c r="AW532" s="1">
        <v>528</v>
      </c>
    </row>
    <row r="533" spans="1:49" ht="12.75">
      <c r="A533" s="5">
        <v>6940</v>
      </c>
      <c r="B533" s="2" t="s">
        <v>907</v>
      </c>
      <c r="C533" s="305">
        <v>0</v>
      </c>
      <c r="D533" s="305">
        <v>0</v>
      </c>
      <c r="E533" s="305">
        <v>62.4</v>
      </c>
      <c r="F533" s="305">
        <v>204</v>
      </c>
      <c r="G533" s="305">
        <v>0</v>
      </c>
      <c r="H533" s="305">
        <v>6072</v>
      </c>
      <c r="I533" s="305">
        <v>0</v>
      </c>
      <c r="K533" s="3" t="s">
        <v>982</v>
      </c>
      <c r="L533" s="365"/>
      <c r="M533" s="2">
        <v>204</v>
      </c>
      <c r="N533" s="311">
        <v>636</v>
      </c>
      <c r="O533" s="310" t="s">
        <v>60</v>
      </c>
      <c r="V533" s="1">
        <v>1</v>
      </c>
      <c r="W533" s="1" t="s">
        <v>370</v>
      </c>
      <c r="X533" s="1" t="s">
        <v>1427</v>
      </c>
      <c r="Y533" s="2">
        <v>1440</v>
      </c>
      <c r="Z533" s="2">
        <v>0</v>
      </c>
      <c r="AA533" s="2">
        <v>1502.4</v>
      </c>
      <c r="AB533" s="2">
        <v>1440</v>
      </c>
      <c r="AC533" s="2">
        <v>62.4</v>
      </c>
      <c r="AD533" s="2">
        <v>0</v>
      </c>
      <c r="AE533" s="2">
        <v>0</v>
      </c>
      <c r="AF533" s="2">
        <v>1440</v>
      </c>
      <c r="AG533" s="2">
        <v>0</v>
      </c>
      <c r="AH533" s="2">
        <v>62.4</v>
      </c>
      <c r="AI533" s="2">
        <v>62.4</v>
      </c>
      <c r="AJ533" s="2">
        <v>62.4</v>
      </c>
      <c r="AK533" s="2">
        <v>0</v>
      </c>
      <c r="AL533" s="2">
        <v>0</v>
      </c>
      <c r="AM533" s="2">
        <v>63.2</v>
      </c>
      <c r="AN533" s="2">
        <v>0</v>
      </c>
      <c r="AO533" s="2">
        <v>0</v>
      </c>
      <c r="AP533" s="2">
        <v>77.6</v>
      </c>
      <c r="AQ533" s="2">
        <v>0</v>
      </c>
      <c r="AR533" s="2">
        <v>0</v>
      </c>
      <c r="AS533" s="2">
        <v>0</v>
      </c>
      <c r="AT533" s="2">
        <v>63.2</v>
      </c>
      <c r="AU533" s="2">
        <v>0</v>
      </c>
      <c r="AV533" s="2">
        <v>0</v>
      </c>
      <c r="AW533" s="1">
        <v>529</v>
      </c>
    </row>
    <row r="534" spans="1:49" ht="12.75">
      <c r="A534" s="5">
        <v>7020</v>
      </c>
      <c r="B534" s="2" t="s">
        <v>1430</v>
      </c>
      <c r="C534" s="305">
        <v>920</v>
      </c>
      <c r="D534" s="305">
        <v>0</v>
      </c>
      <c r="E534" s="305">
        <v>0</v>
      </c>
      <c r="F534" s="305">
        <v>920</v>
      </c>
      <c r="G534" s="305">
        <v>0</v>
      </c>
      <c r="H534" s="305">
        <v>0</v>
      </c>
      <c r="I534" s="305">
        <v>0</v>
      </c>
      <c r="K534" s="3" t="s">
        <v>982</v>
      </c>
      <c r="L534" s="365"/>
      <c r="M534" s="2">
        <v>920</v>
      </c>
      <c r="N534" s="311">
        <v>738</v>
      </c>
      <c r="O534" s="310" t="s">
        <v>1431</v>
      </c>
      <c r="V534" s="1">
        <v>1</v>
      </c>
      <c r="W534" s="1" t="s">
        <v>34</v>
      </c>
      <c r="X534" s="1" t="s">
        <v>1432</v>
      </c>
      <c r="Y534" s="2">
        <v>0</v>
      </c>
      <c r="Z534" s="2">
        <v>0</v>
      </c>
      <c r="AA534" s="2">
        <v>0</v>
      </c>
      <c r="AB534" s="2">
        <v>0</v>
      </c>
      <c r="AC534" s="2">
        <v>0</v>
      </c>
      <c r="AD534" s="2">
        <v>0</v>
      </c>
      <c r="AE534" s="2">
        <v>0</v>
      </c>
      <c r="AF534" s="2">
        <v>0</v>
      </c>
      <c r="AG534" s="2">
        <v>0</v>
      </c>
      <c r="AH534" s="2">
        <v>0</v>
      </c>
      <c r="AI534" s="2">
        <v>0</v>
      </c>
      <c r="AJ534" s="2">
        <v>0</v>
      </c>
      <c r="AK534" s="2">
        <v>0</v>
      </c>
      <c r="AL534" s="2">
        <v>0</v>
      </c>
      <c r="AM534" s="2">
        <v>0</v>
      </c>
      <c r="AN534" s="2">
        <v>0</v>
      </c>
      <c r="AO534" s="2">
        <v>0</v>
      </c>
      <c r="AP534" s="2">
        <v>0</v>
      </c>
      <c r="AQ534" s="2">
        <v>0</v>
      </c>
      <c r="AR534" s="2">
        <v>0</v>
      </c>
      <c r="AS534" s="2">
        <v>0</v>
      </c>
      <c r="AT534" s="2">
        <v>0</v>
      </c>
      <c r="AU534" s="2">
        <v>0</v>
      </c>
      <c r="AV534" s="2">
        <v>920</v>
      </c>
      <c r="AW534" s="1">
        <v>530</v>
      </c>
    </row>
    <row r="535" spans="1:49" ht="12.75">
      <c r="A535" s="5">
        <v>7050</v>
      </c>
      <c r="B535" s="2" t="s">
        <v>1433</v>
      </c>
      <c r="C535" s="305">
        <v>0</v>
      </c>
      <c r="D535" s="305">
        <v>0</v>
      </c>
      <c r="E535" s="305">
        <v>985.2</v>
      </c>
      <c r="F535" s="305">
        <v>3076.84</v>
      </c>
      <c r="G535" s="305">
        <v>0</v>
      </c>
      <c r="H535" s="305">
        <v>8080.89</v>
      </c>
      <c r="I535" s="305">
        <v>0</v>
      </c>
      <c r="K535" s="3" t="s">
        <v>982</v>
      </c>
      <c r="L535" s="365"/>
      <c r="M535" s="2">
        <v>3076.84</v>
      </c>
      <c r="N535" s="311">
        <v>738</v>
      </c>
      <c r="O535" s="310" t="s">
        <v>1431</v>
      </c>
      <c r="V535" s="1">
        <v>1</v>
      </c>
      <c r="W535" s="1" t="s">
        <v>34</v>
      </c>
      <c r="X535" s="1" t="s">
        <v>1432</v>
      </c>
      <c r="Y535" s="2">
        <v>0</v>
      </c>
      <c r="Z535" s="2">
        <v>0</v>
      </c>
      <c r="AA535" s="2">
        <v>0</v>
      </c>
      <c r="AB535" s="2">
        <v>0</v>
      </c>
      <c r="AC535" s="2">
        <v>0</v>
      </c>
      <c r="AD535" s="2">
        <v>2073.8</v>
      </c>
      <c r="AE535" s="2">
        <v>1288</v>
      </c>
      <c r="AF535" s="2">
        <v>953.7</v>
      </c>
      <c r="AG535" s="2">
        <v>876.6</v>
      </c>
      <c r="AH535" s="2">
        <v>693.4</v>
      </c>
      <c r="AI535" s="2">
        <v>1210.19</v>
      </c>
      <c r="AJ535" s="2">
        <v>985.2</v>
      </c>
      <c r="AK535" s="2">
        <v>427.21</v>
      </c>
      <c r="AL535" s="2">
        <v>772.81</v>
      </c>
      <c r="AM535" s="2">
        <v>806.42</v>
      </c>
      <c r="AN535" s="2">
        <v>0</v>
      </c>
      <c r="AO535" s="2">
        <v>1070.4</v>
      </c>
      <c r="AP535" s="2">
        <v>0</v>
      </c>
      <c r="AQ535" s="2">
        <v>0</v>
      </c>
      <c r="AR535" s="2">
        <v>0</v>
      </c>
      <c r="AS535" s="2">
        <v>0</v>
      </c>
      <c r="AT535" s="2">
        <v>0</v>
      </c>
      <c r="AU535" s="2">
        <v>0</v>
      </c>
      <c r="AV535" s="2">
        <v>0</v>
      </c>
      <c r="AW535" s="1">
        <v>531</v>
      </c>
    </row>
    <row r="536" spans="1:49" ht="12.75">
      <c r="A536" s="5">
        <v>7051</v>
      </c>
      <c r="B536" s="2" t="s">
        <v>1434</v>
      </c>
      <c r="C536" s="305">
        <v>0</v>
      </c>
      <c r="D536" s="305">
        <v>0</v>
      </c>
      <c r="E536" s="305">
        <v>0</v>
      </c>
      <c r="F536" s="305">
        <v>0</v>
      </c>
      <c r="G536" s="305">
        <v>0</v>
      </c>
      <c r="H536" s="305">
        <v>7604.1</v>
      </c>
      <c r="I536" s="305">
        <v>0</v>
      </c>
      <c r="K536" s="3" t="s">
        <v>982</v>
      </c>
      <c r="L536" s="365"/>
      <c r="M536" s="2">
        <v>0</v>
      </c>
      <c r="N536" s="311">
        <v>738</v>
      </c>
      <c r="O536" s="310" t="s">
        <v>1431</v>
      </c>
      <c r="V536" s="1">
        <v>1</v>
      </c>
      <c r="W536" s="1" t="s">
        <v>34</v>
      </c>
      <c r="X536" s="1" t="s">
        <v>1432</v>
      </c>
      <c r="Y536" s="2">
        <v>3369.2</v>
      </c>
      <c r="Z536" s="2">
        <v>922</v>
      </c>
      <c r="AA536" s="2">
        <v>2295.9</v>
      </c>
      <c r="AB536" s="2">
        <v>1017</v>
      </c>
      <c r="AC536" s="2">
        <v>0</v>
      </c>
      <c r="AD536" s="2">
        <v>0</v>
      </c>
      <c r="AE536" s="2">
        <v>0</v>
      </c>
      <c r="AF536" s="2">
        <v>0</v>
      </c>
      <c r="AG536" s="2">
        <v>0</v>
      </c>
      <c r="AH536" s="2">
        <v>0</v>
      </c>
      <c r="AI536" s="2">
        <v>0</v>
      </c>
      <c r="AJ536" s="2">
        <v>0</v>
      </c>
      <c r="AK536" s="2">
        <v>0</v>
      </c>
      <c r="AL536" s="2">
        <v>0</v>
      </c>
      <c r="AM536" s="2">
        <v>0</v>
      </c>
      <c r="AN536" s="2">
        <v>0</v>
      </c>
      <c r="AO536" s="2">
        <v>0</v>
      </c>
      <c r="AP536" s="2">
        <v>0</v>
      </c>
      <c r="AQ536" s="2">
        <v>0</v>
      </c>
      <c r="AR536" s="2">
        <v>0</v>
      </c>
      <c r="AS536" s="2">
        <v>0</v>
      </c>
      <c r="AT536" s="2">
        <v>0</v>
      </c>
      <c r="AU536" s="2">
        <v>0</v>
      </c>
      <c r="AV536" s="2">
        <v>0</v>
      </c>
      <c r="AW536" s="1">
        <v>532</v>
      </c>
    </row>
    <row r="537" spans="1:49" ht="12.75">
      <c r="A537" s="5">
        <v>7054</v>
      </c>
      <c r="B537" s="2" t="s">
        <v>1435</v>
      </c>
      <c r="C537" s="305">
        <v>0</v>
      </c>
      <c r="D537" s="305">
        <v>0</v>
      </c>
      <c r="E537" s="305">
        <v>0</v>
      </c>
      <c r="F537" s="305">
        <v>0</v>
      </c>
      <c r="G537" s="305">
        <v>0</v>
      </c>
      <c r="H537" s="305">
        <v>1695.8</v>
      </c>
      <c r="I537" s="305">
        <v>0</v>
      </c>
      <c r="K537" s="3" t="s">
        <v>982</v>
      </c>
      <c r="L537" s="365"/>
      <c r="M537" s="2">
        <v>0</v>
      </c>
      <c r="N537" s="311">
        <v>738</v>
      </c>
      <c r="O537" s="310" t="s">
        <v>1431</v>
      </c>
      <c r="V537" s="1">
        <v>1</v>
      </c>
      <c r="W537" s="1" t="s">
        <v>370</v>
      </c>
      <c r="X537" s="1" t="s">
        <v>1432</v>
      </c>
      <c r="Y537" s="2">
        <v>0</v>
      </c>
      <c r="Z537" s="2">
        <v>0</v>
      </c>
      <c r="AA537" s="2">
        <v>0</v>
      </c>
      <c r="AB537" s="2">
        <v>0</v>
      </c>
      <c r="AC537" s="2">
        <v>1695.8</v>
      </c>
      <c r="AD537" s="2">
        <v>0</v>
      </c>
      <c r="AE537" s="2">
        <v>0</v>
      </c>
      <c r="AF537" s="2">
        <v>0</v>
      </c>
      <c r="AG537" s="2">
        <v>0</v>
      </c>
      <c r="AH537" s="2">
        <v>0</v>
      </c>
      <c r="AI537" s="2">
        <v>0</v>
      </c>
      <c r="AJ537" s="2">
        <v>0</v>
      </c>
      <c r="AK537" s="2">
        <v>0</v>
      </c>
      <c r="AL537" s="2">
        <v>0</v>
      </c>
      <c r="AM537" s="2">
        <v>0</v>
      </c>
      <c r="AN537" s="2">
        <v>0</v>
      </c>
      <c r="AO537" s="2">
        <v>0</v>
      </c>
      <c r="AP537" s="2">
        <v>0</v>
      </c>
      <c r="AQ537" s="2">
        <v>0</v>
      </c>
      <c r="AR537" s="2">
        <v>0</v>
      </c>
      <c r="AS537" s="2">
        <v>0</v>
      </c>
      <c r="AT537" s="2">
        <v>0</v>
      </c>
      <c r="AU537" s="2">
        <v>0</v>
      </c>
      <c r="AV537" s="2">
        <v>0</v>
      </c>
      <c r="AW537" s="1">
        <v>533</v>
      </c>
    </row>
    <row r="538" spans="1:49" ht="12.75">
      <c r="A538" s="5">
        <v>7140</v>
      </c>
      <c r="B538" s="2" t="s">
        <v>444</v>
      </c>
      <c r="C538" s="305">
        <v>0</v>
      </c>
      <c r="D538" s="305">
        <v>0</v>
      </c>
      <c r="E538" s="305">
        <v>0</v>
      </c>
      <c r="F538" s="305">
        <v>7934.32</v>
      </c>
      <c r="G538" s="305">
        <v>0</v>
      </c>
      <c r="H538" s="305">
        <v>0</v>
      </c>
      <c r="I538" s="305">
        <v>0</v>
      </c>
      <c r="K538" s="3" t="s">
        <v>982</v>
      </c>
      <c r="L538" s="365"/>
      <c r="M538" s="2">
        <v>7934.32</v>
      </c>
      <c r="N538" s="311">
        <v>739</v>
      </c>
      <c r="O538" s="310" t="s">
        <v>63</v>
      </c>
      <c r="V538" s="1">
        <v>1</v>
      </c>
      <c r="W538" s="1" t="s">
        <v>370</v>
      </c>
      <c r="X538" s="1" t="s">
        <v>1436</v>
      </c>
      <c r="Y538" s="2">
        <v>0</v>
      </c>
      <c r="Z538" s="2">
        <v>0</v>
      </c>
      <c r="AA538" s="2">
        <v>0</v>
      </c>
      <c r="AB538" s="2">
        <v>0</v>
      </c>
      <c r="AC538" s="2">
        <v>0</v>
      </c>
      <c r="AD538" s="2">
        <v>0</v>
      </c>
      <c r="AE538" s="2">
        <v>0</v>
      </c>
      <c r="AF538" s="2">
        <v>0</v>
      </c>
      <c r="AG538" s="2">
        <v>0</v>
      </c>
      <c r="AH538" s="2">
        <v>0</v>
      </c>
      <c r="AI538" s="2">
        <v>0</v>
      </c>
      <c r="AJ538" s="2">
        <v>0</v>
      </c>
      <c r="AK538" s="2">
        <v>0</v>
      </c>
      <c r="AL538" s="2">
        <v>0</v>
      </c>
      <c r="AM538" s="2">
        <v>0</v>
      </c>
      <c r="AN538" s="2">
        <v>0</v>
      </c>
      <c r="AO538" s="2">
        <v>0</v>
      </c>
      <c r="AP538" s="2">
        <v>2477.56</v>
      </c>
      <c r="AQ538" s="2">
        <v>408</v>
      </c>
      <c r="AR538" s="2">
        <v>2443.38</v>
      </c>
      <c r="AS538" s="2">
        <v>1461.59</v>
      </c>
      <c r="AT538" s="2">
        <v>432</v>
      </c>
      <c r="AU538" s="2">
        <v>711.79</v>
      </c>
      <c r="AV538" s="2">
        <v>0</v>
      </c>
      <c r="AW538" s="1">
        <v>534</v>
      </c>
    </row>
    <row r="539" spans="1:49" ht="12.75">
      <c r="A539" s="5">
        <v>7142</v>
      </c>
      <c r="B539" s="2" t="s">
        <v>425</v>
      </c>
      <c r="C539" s="305">
        <v>0</v>
      </c>
      <c r="D539" s="305">
        <v>0</v>
      </c>
      <c r="E539" s="305">
        <v>0</v>
      </c>
      <c r="F539" s="305">
        <v>3044</v>
      </c>
      <c r="G539" s="305">
        <v>0</v>
      </c>
      <c r="H539" s="305">
        <v>0</v>
      </c>
      <c r="I539" s="305">
        <v>0</v>
      </c>
      <c r="K539" s="3" t="s">
        <v>982</v>
      </c>
      <c r="L539" s="365"/>
      <c r="M539" s="2">
        <v>3044</v>
      </c>
      <c r="N539" s="311">
        <v>739</v>
      </c>
      <c r="O539" s="310" t="s">
        <v>63</v>
      </c>
      <c r="V539" s="1">
        <v>1</v>
      </c>
      <c r="W539" s="1" t="s">
        <v>370</v>
      </c>
      <c r="X539" s="1" t="s">
        <v>1436</v>
      </c>
      <c r="Y539" s="2">
        <v>0</v>
      </c>
      <c r="Z539" s="2">
        <v>0</v>
      </c>
      <c r="AA539" s="2">
        <v>0</v>
      </c>
      <c r="AB539" s="2">
        <v>0</v>
      </c>
      <c r="AC539" s="2">
        <v>0</v>
      </c>
      <c r="AD539" s="2">
        <v>0</v>
      </c>
      <c r="AE539" s="2">
        <v>0</v>
      </c>
      <c r="AF539" s="2">
        <v>0</v>
      </c>
      <c r="AG539" s="2">
        <v>0</v>
      </c>
      <c r="AH539" s="2">
        <v>0</v>
      </c>
      <c r="AI539" s="2">
        <v>0</v>
      </c>
      <c r="AJ539" s="2">
        <v>0</v>
      </c>
      <c r="AK539" s="2">
        <v>0</v>
      </c>
      <c r="AL539" s="2">
        <v>0</v>
      </c>
      <c r="AM539" s="2">
        <v>0</v>
      </c>
      <c r="AN539" s="2">
        <v>0</v>
      </c>
      <c r="AO539" s="2">
        <v>3044</v>
      </c>
      <c r="AP539" s="2">
        <v>0</v>
      </c>
      <c r="AQ539" s="2">
        <v>0</v>
      </c>
      <c r="AR539" s="2">
        <v>0</v>
      </c>
      <c r="AS539" s="2">
        <v>0</v>
      </c>
      <c r="AT539" s="2">
        <v>0</v>
      </c>
      <c r="AU539" s="2">
        <v>0</v>
      </c>
      <c r="AV539" s="2">
        <v>0</v>
      </c>
      <c r="AW539" s="1">
        <v>535</v>
      </c>
    </row>
    <row r="540" spans="1:49" ht="12.75">
      <c r="A540" s="5">
        <v>7190</v>
      </c>
      <c r="B540" s="2" t="s">
        <v>1437</v>
      </c>
      <c r="C540" s="305">
        <v>0</v>
      </c>
      <c r="D540" s="305">
        <v>0</v>
      </c>
      <c r="E540" s="305">
        <v>0</v>
      </c>
      <c r="F540" s="305">
        <v>993.75</v>
      </c>
      <c r="G540" s="305">
        <v>0</v>
      </c>
      <c r="H540" s="305">
        <v>0</v>
      </c>
      <c r="I540" s="305">
        <v>0</v>
      </c>
      <c r="K540" s="3" t="s">
        <v>982</v>
      </c>
      <c r="L540" s="365"/>
      <c r="M540" s="2">
        <v>993.75</v>
      </c>
      <c r="N540" s="311">
        <v>739</v>
      </c>
      <c r="O540" s="310" t="s">
        <v>63</v>
      </c>
      <c r="V540" s="1">
        <v>1</v>
      </c>
      <c r="W540" s="1" t="s">
        <v>370</v>
      </c>
      <c r="X540" s="1" t="s">
        <v>1436</v>
      </c>
      <c r="Y540" s="2">
        <v>0</v>
      </c>
      <c r="Z540" s="2">
        <v>0</v>
      </c>
      <c r="AA540" s="2">
        <v>0</v>
      </c>
      <c r="AB540" s="2">
        <v>0</v>
      </c>
      <c r="AC540" s="2">
        <v>0</v>
      </c>
      <c r="AD540" s="2">
        <v>0</v>
      </c>
      <c r="AE540" s="2">
        <v>0</v>
      </c>
      <c r="AF540" s="2">
        <v>0</v>
      </c>
      <c r="AG540" s="2">
        <v>0</v>
      </c>
      <c r="AH540" s="2">
        <v>0</v>
      </c>
      <c r="AI540" s="2">
        <v>0</v>
      </c>
      <c r="AJ540" s="2">
        <v>0</v>
      </c>
      <c r="AK540" s="2">
        <v>0</v>
      </c>
      <c r="AL540" s="2">
        <v>0</v>
      </c>
      <c r="AM540" s="2">
        <v>0</v>
      </c>
      <c r="AN540" s="2">
        <v>993.75</v>
      </c>
      <c r="AO540" s="2">
        <v>0</v>
      </c>
      <c r="AP540" s="2">
        <v>0</v>
      </c>
      <c r="AQ540" s="2">
        <v>0</v>
      </c>
      <c r="AR540" s="2">
        <v>0</v>
      </c>
      <c r="AS540" s="2">
        <v>0</v>
      </c>
      <c r="AT540" s="2">
        <v>0</v>
      </c>
      <c r="AU540" s="2">
        <v>0</v>
      </c>
      <c r="AV540" s="2">
        <v>0</v>
      </c>
      <c r="AW540" s="1">
        <v>536</v>
      </c>
    </row>
    <row r="541" spans="1:49" ht="12.75">
      <c r="A541" s="5">
        <v>7192</v>
      </c>
      <c r="B541" s="2" t="s">
        <v>1438</v>
      </c>
      <c r="C541" s="305">
        <v>0</v>
      </c>
      <c r="D541" s="305">
        <v>0</v>
      </c>
      <c r="E541" s="305">
        <v>0</v>
      </c>
      <c r="F541" s="305">
        <v>1044.61</v>
      </c>
      <c r="G541" s="305">
        <v>0</v>
      </c>
      <c r="H541" s="305">
        <v>0</v>
      </c>
      <c r="I541" s="305">
        <v>0</v>
      </c>
      <c r="K541" s="3" t="s">
        <v>982</v>
      </c>
      <c r="L541" s="365"/>
      <c r="M541" s="2">
        <v>1044.61</v>
      </c>
      <c r="N541" s="311">
        <v>739</v>
      </c>
      <c r="O541" s="310" t="s">
        <v>63</v>
      </c>
      <c r="V541" s="1">
        <v>1</v>
      </c>
      <c r="W541" s="1" t="s">
        <v>370</v>
      </c>
      <c r="X541" s="1" t="s">
        <v>1436</v>
      </c>
      <c r="Y541" s="2">
        <v>0</v>
      </c>
      <c r="Z541" s="2">
        <v>0</v>
      </c>
      <c r="AA541" s="2">
        <v>0</v>
      </c>
      <c r="AB541" s="2">
        <v>0</v>
      </c>
      <c r="AC541" s="2">
        <v>0</v>
      </c>
      <c r="AD541" s="2">
        <v>0</v>
      </c>
      <c r="AE541" s="2">
        <v>0</v>
      </c>
      <c r="AF541" s="2">
        <v>0</v>
      </c>
      <c r="AG541" s="2">
        <v>0</v>
      </c>
      <c r="AH541" s="2">
        <v>0</v>
      </c>
      <c r="AI541" s="2">
        <v>0</v>
      </c>
      <c r="AJ541" s="2">
        <v>0</v>
      </c>
      <c r="AK541" s="2">
        <v>208.92</v>
      </c>
      <c r="AL541" s="2">
        <v>208.92</v>
      </c>
      <c r="AM541" s="2">
        <v>417.84</v>
      </c>
      <c r="AN541" s="2">
        <v>0</v>
      </c>
      <c r="AO541" s="2">
        <v>208.93</v>
      </c>
      <c r="AP541" s="2">
        <v>0</v>
      </c>
      <c r="AQ541" s="2">
        <v>0</v>
      </c>
      <c r="AR541" s="2">
        <v>0</v>
      </c>
      <c r="AS541" s="2">
        <v>0</v>
      </c>
      <c r="AT541" s="2">
        <v>0</v>
      </c>
      <c r="AU541" s="2">
        <v>0</v>
      </c>
      <c r="AV541" s="2">
        <v>0</v>
      </c>
      <c r="AW541" s="1">
        <v>537</v>
      </c>
    </row>
    <row r="542" spans="1:49" ht="12.75">
      <c r="A542" s="5">
        <v>7309</v>
      </c>
      <c r="B542" s="2" t="s">
        <v>426</v>
      </c>
      <c r="C542" s="305">
        <v>979.03</v>
      </c>
      <c r="D542" s="305">
        <v>0</v>
      </c>
      <c r="E542" s="305">
        <v>7300</v>
      </c>
      <c r="F542" s="305">
        <v>83373.04</v>
      </c>
      <c r="G542" s="305">
        <v>0</v>
      </c>
      <c r="H542" s="305">
        <v>44228.76</v>
      </c>
      <c r="I542" s="305">
        <v>0</v>
      </c>
      <c r="K542" s="3" t="s">
        <v>982</v>
      </c>
      <c r="L542" s="365"/>
      <c r="M542" s="2">
        <v>83373.04</v>
      </c>
      <c r="N542" s="311">
        <v>740</v>
      </c>
      <c r="O542" s="310" t="s">
        <v>64</v>
      </c>
      <c r="V542" s="1">
        <v>1</v>
      </c>
      <c r="W542" s="1" t="s">
        <v>370</v>
      </c>
      <c r="X542" s="1" t="s">
        <v>1439</v>
      </c>
      <c r="Y542" s="2">
        <v>25700.34</v>
      </c>
      <c r="Z542" s="2">
        <v>100.46</v>
      </c>
      <c r="AA542" s="2">
        <v>372.3</v>
      </c>
      <c r="AB542" s="2">
        <v>99.78</v>
      </c>
      <c r="AC542" s="2">
        <v>6104.14</v>
      </c>
      <c r="AD542" s="2">
        <v>100.22</v>
      </c>
      <c r="AE542" s="2">
        <v>100.54</v>
      </c>
      <c r="AF542" s="2">
        <v>99.41</v>
      </c>
      <c r="AG542" s="2">
        <v>100.25</v>
      </c>
      <c r="AH542" s="2">
        <v>4101.32</v>
      </c>
      <c r="AI542" s="2">
        <v>50</v>
      </c>
      <c r="AJ542" s="2">
        <v>7300</v>
      </c>
      <c r="AK542" s="2">
        <v>50103.84</v>
      </c>
      <c r="AL542" s="2">
        <v>103</v>
      </c>
      <c r="AM542" s="2">
        <v>6103.84</v>
      </c>
      <c r="AN542" s="2">
        <v>19687.84</v>
      </c>
      <c r="AO542" s="2">
        <v>2445.66</v>
      </c>
      <c r="AP542" s="2">
        <v>2248.45</v>
      </c>
      <c r="AQ542" s="2">
        <v>103</v>
      </c>
      <c r="AR542" s="2">
        <v>105.38</v>
      </c>
      <c r="AS542" s="2">
        <v>1285.23</v>
      </c>
      <c r="AT542" s="2">
        <v>104.31</v>
      </c>
      <c r="AU542" s="2">
        <v>103.46</v>
      </c>
      <c r="AV542" s="2">
        <v>979.03</v>
      </c>
      <c r="AW542" s="1">
        <v>538</v>
      </c>
    </row>
    <row r="543" spans="1:49" ht="12.75">
      <c r="A543" s="5">
        <v>7310</v>
      </c>
      <c r="B543" s="2" t="s">
        <v>1440</v>
      </c>
      <c r="C543" s="305">
        <v>0</v>
      </c>
      <c r="D543" s="305">
        <v>0</v>
      </c>
      <c r="E543" s="305">
        <v>700</v>
      </c>
      <c r="F543" s="305">
        <v>14000</v>
      </c>
      <c r="G543" s="305">
        <v>0</v>
      </c>
      <c r="H543" s="305">
        <v>-2600</v>
      </c>
      <c r="I543" s="305">
        <v>0</v>
      </c>
      <c r="K543" s="3" t="s">
        <v>982</v>
      </c>
      <c r="L543" s="365"/>
      <c r="M543" s="2">
        <v>14000</v>
      </c>
      <c r="N543" s="311">
        <v>740</v>
      </c>
      <c r="O543" s="310" t="s">
        <v>64</v>
      </c>
      <c r="V543" s="1">
        <v>1</v>
      </c>
      <c r="W543" s="1" t="s">
        <v>370</v>
      </c>
      <c r="X543" s="1" t="s">
        <v>1439</v>
      </c>
      <c r="Y543" s="2">
        <v>0</v>
      </c>
      <c r="Z543" s="2">
        <v>0</v>
      </c>
      <c r="AA543" s="2">
        <v>0</v>
      </c>
      <c r="AB543" s="2">
        <v>-4800</v>
      </c>
      <c r="AC543" s="2">
        <v>0</v>
      </c>
      <c r="AD543" s="2">
        <v>0</v>
      </c>
      <c r="AE543" s="2">
        <v>0</v>
      </c>
      <c r="AF543" s="2">
        <v>-2500</v>
      </c>
      <c r="AG543" s="2">
        <v>0</v>
      </c>
      <c r="AH543" s="2">
        <v>0</v>
      </c>
      <c r="AI543" s="2">
        <v>4000</v>
      </c>
      <c r="AJ543" s="2">
        <v>700</v>
      </c>
      <c r="AK543" s="2">
        <v>0</v>
      </c>
      <c r="AL543" s="2">
        <v>0</v>
      </c>
      <c r="AM543" s="2">
        <v>2500</v>
      </c>
      <c r="AN543" s="2">
        <v>2500</v>
      </c>
      <c r="AO543" s="2">
        <v>9000</v>
      </c>
      <c r="AP543" s="2">
        <v>0</v>
      </c>
      <c r="AQ543" s="2">
        <v>0</v>
      </c>
      <c r="AR543" s="2">
        <v>0</v>
      </c>
      <c r="AS543" s="2">
        <v>0</v>
      </c>
      <c r="AT543" s="2">
        <v>0</v>
      </c>
      <c r="AU543" s="2">
        <v>0</v>
      </c>
      <c r="AV543" s="2">
        <v>0</v>
      </c>
      <c r="AW543" s="1">
        <v>539</v>
      </c>
    </row>
    <row r="544" spans="1:49" ht="12.75">
      <c r="A544" s="5">
        <v>7330</v>
      </c>
      <c r="B544" s="2" t="s">
        <v>445</v>
      </c>
      <c r="C544" s="305">
        <v>0</v>
      </c>
      <c r="D544" s="305">
        <v>0</v>
      </c>
      <c r="E544" s="305">
        <v>0</v>
      </c>
      <c r="F544" s="305">
        <v>2.4</v>
      </c>
      <c r="G544" s="305">
        <v>0</v>
      </c>
      <c r="H544" s="305">
        <v>4038.87</v>
      </c>
      <c r="I544" s="305">
        <v>0</v>
      </c>
      <c r="K544" s="3" t="s">
        <v>982</v>
      </c>
      <c r="L544" s="365"/>
      <c r="M544" s="2">
        <v>2.4</v>
      </c>
      <c r="N544" s="311">
        <v>631</v>
      </c>
      <c r="O544" s="310" t="s">
        <v>54</v>
      </c>
      <c r="V544" s="1">
        <v>1</v>
      </c>
      <c r="W544" s="1" t="s">
        <v>370</v>
      </c>
      <c r="X544" s="1" t="s">
        <v>1422</v>
      </c>
      <c r="Y544" s="2">
        <v>0</v>
      </c>
      <c r="Z544" s="2">
        <v>503.41</v>
      </c>
      <c r="AA544" s="2">
        <v>1006.82</v>
      </c>
      <c r="AB544" s="2">
        <v>1006.82</v>
      </c>
      <c r="AC544" s="2">
        <v>1006.82</v>
      </c>
      <c r="AD544" s="2">
        <v>0</v>
      </c>
      <c r="AE544" s="2">
        <v>515</v>
      </c>
      <c r="AF544" s="2">
        <v>0</v>
      </c>
      <c r="AG544" s="2">
        <v>0</v>
      </c>
      <c r="AH544" s="2">
        <v>0</v>
      </c>
      <c r="AI544" s="2">
        <v>0</v>
      </c>
      <c r="AJ544" s="2">
        <v>0</v>
      </c>
      <c r="AK544" s="2">
        <v>0</v>
      </c>
      <c r="AL544" s="2">
        <v>0</v>
      </c>
      <c r="AM544" s="2">
        <v>0</v>
      </c>
      <c r="AN544" s="2">
        <v>0</v>
      </c>
      <c r="AO544" s="2">
        <v>0</v>
      </c>
      <c r="AP544" s="2">
        <v>0</v>
      </c>
      <c r="AQ544" s="2">
        <v>2.4</v>
      </c>
      <c r="AR544" s="2">
        <v>0</v>
      </c>
      <c r="AS544" s="2">
        <v>0</v>
      </c>
      <c r="AT544" s="2">
        <v>0</v>
      </c>
      <c r="AU544" s="2">
        <v>0</v>
      </c>
      <c r="AV544" s="2">
        <v>0</v>
      </c>
      <c r="AW544" s="1">
        <v>540</v>
      </c>
    </row>
    <row r="545" spans="1:49" ht="12.75">
      <c r="A545" s="5">
        <v>7410</v>
      </c>
      <c r="B545" s="2" t="s">
        <v>446</v>
      </c>
      <c r="C545" s="305">
        <v>0</v>
      </c>
      <c r="D545" s="305">
        <v>0</v>
      </c>
      <c r="E545" s="305">
        <v>0</v>
      </c>
      <c r="F545" s="305">
        <v>10750</v>
      </c>
      <c r="G545" s="305">
        <v>0</v>
      </c>
      <c r="H545" s="305">
        <v>10670</v>
      </c>
      <c r="I545" s="305">
        <v>0</v>
      </c>
      <c r="K545" s="3" t="s">
        <v>982</v>
      </c>
      <c r="L545" s="365"/>
      <c r="M545" s="2">
        <v>10750</v>
      </c>
      <c r="N545" s="311">
        <v>741</v>
      </c>
      <c r="O545" s="310" t="s">
        <v>65</v>
      </c>
      <c r="V545" s="1">
        <v>1</v>
      </c>
      <c r="W545" s="1" t="s">
        <v>370</v>
      </c>
      <c r="X545" s="1" t="s">
        <v>1409</v>
      </c>
      <c r="Y545" s="2">
        <v>2820</v>
      </c>
      <c r="Z545" s="2">
        <v>3850</v>
      </c>
      <c r="AA545" s="2">
        <v>0</v>
      </c>
      <c r="AB545" s="2">
        <v>0</v>
      </c>
      <c r="AC545" s="2">
        <v>0</v>
      </c>
      <c r="AD545" s="2">
        <v>0</v>
      </c>
      <c r="AE545" s="2">
        <v>0</v>
      </c>
      <c r="AF545" s="2">
        <v>4000</v>
      </c>
      <c r="AG545" s="2">
        <v>0</v>
      </c>
      <c r="AH545" s="2">
        <v>0</v>
      </c>
      <c r="AI545" s="2">
        <v>0</v>
      </c>
      <c r="AJ545" s="2">
        <v>0</v>
      </c>
      <c r="AK545" s="2">
        <v>0</v>
      </c>
      <c r="AL545" s="2">
        <v>6750</v>
      </c>
      <c r="AM545" s="2">
        <v>0</v>
      </c>
      <c r="AN545" s="2">
        <v>0</v>
      </c>
      <c r="AO545" s="2">
        <v>4000</v>
      </c>
      <c r="AP545" s="2">
        <v>0</v>
      </c>
      <c r="AQ545" s="2">
        <v>0</v>
      </c>
      <c r="AR545" s="2">
        <v>0</v>
      </c>
      <c r="AS545" s="2">
        <v>0</v>
      </c>
      <c r="AT545" s="2">
        <v>0</v>
      </c>
      <c r="AU545" s="2">
        <v>0</v>
      </c>
      <c r="AV545" s="2">
        <v>0</v>
      </c>
      <c r="AW545" s="1">
        <v>541</v>
      </c>
    </row>
    <row r="546" spans="1:49" ht="12.75">
      <c r="A546" s="5">
        <v>7420</v>
      </c>
      <c r="B546" s="2" t="s">
        <v>447</v>
      </c>
      <c r="C546" s="305">
        <v>0</v>
      </c>
      <c r="D546" s="305">
        <v>0</v>
      </c>
      <c r="E546" s="305">
        <v>0</v>
      </c>
      <c r="F546" s="305">
        <v>4850</v>
      </c>
      <c r="G546" s="305">
        <v>0</v>
      </c>
      <c r="H546" s="305">
        <v>4650</v>
      </c>
      <c r="I546" s="305">
        <v>0</v>
      </c>
      <c r="K546" s="3" t="s">
        <v>982</v>
      </c>
      <c r="L546" s="365"/>
      <c r="M546" s="2">
        <v>4850</v>
      </c>
      <c r="N546" s="311">
        <v>741</v>
      </c>
      <c r="O546" s="310" t="s">
        <v>65</v>
      </c>
      <c r="V546" s="1">
        <v>1</v>
      </c>
      <c r="W546" s="1" t="s">
        <v>370</v>
      </c>
      <c r="X546" s="1" t="s">
        <v>1409</v>
      </c>
      <c r="Y546" s="2">
        <v>400</v>
      </c>
      <c r="Z546" s="2">
        <v>3250</v>
      </c>
      <c r="AA546" s="2">
        <v>0</v>
      </c>
      <c r="AB546" s="2">
        <v>0</v>
      </c>
      <c r="AC546" s="2">
        <v>1000</v>
      </c>
      <c r="AD546" s="2">
        <v>0</v>
      </c>
      <c r="AE546" s="2">
        <v>0</v>
      </c>
      <c r="AF546" s="2">
        <v>0</v>
      </c>
      <c r="AG546" s="2">
        <v>0</v>
      </c>
      <c r="AH546" s="2">
        <v>0</v>
      </c>
      <c r="AI546" s="2">
        <v>0</v>
      </c>
      <c r="AJ546" s="2">
        <v>0</v>
      </c>
      <c r="AK546" s="2">
        <v>0</v>
      </c>
      <c r="AL546" s="2">
        <v>3850</v>
      </c>
      <c r="AM546" s="2">
        <v>0</v>
      </c>
      <c r="AN546" s="2">
        <v>0</v>
      </c>
      <c r="AO546" s="2">
        <v>1000</v>
      </c>
      <c r="AP546" s="2">
        <v>0</v>
      </c>
      <c r="AQ546" s="2">
        <v>0</v>
      </c>
      <c r="AR546" s="2">
        <v>0</v>
      </c>
      <c r="AS546" s="2">
        <v>0</v>
      </c>
      <c r="AT546" s="2">
        <v>0</v>
      </c>
      <c r="AU546" s="2">
        <v>0</v>
      </c>
      <c r="AV546" s="2">
        <v>0</v>
      </c>
      <c r="AW546" s="1">
        <v>542</v>
      </c>
    </row>
    <row r="547" spans="1:49" ht="12.75">
      <c r="A547" s="5">
        <v>7440</v>
      </c>
      <c r="B547" s="2" t="s">
        <v>1441</v>
      </c>
      <c r="C547" s="305">
        <v>0</v>
      </c>
      <c r="D547" s="305">
        <v>0</v>
      </c>
      <c r="E547" s="305">
        <v>1348.5</v>
      </c>
      <c r="F547" s="305">
        <v>0</v>
      </c>
      <c r="G547" s="305">
        <v>0</v>
      </c>
      <c r="H547" s="305">
        <v>1857.8</v>
      </c>
      <c r="I547" s="305">
        <v>0</v>
      </c>
      <c r="K547" s="3" t="s">
        <v>982</v>
      </c>
      <c r="L547" s="365"/>
      <c r="M547" s="2">
        <v>0</v>
      </c>
      <c r="N547" s="311">
        <v>741</v>
      </c>
      <c r="O547" s="310" t="s">
        <v>65</v>
      </c>
      <c r="V547" s="1">
        <v>1</v>
      </c>
      <c r="W547" s="1" t="s">
        <v>370</v>
      </c>
      <c r="X547" s="1" t="s">
        <v>1409</v>
      </c>
      <c r="Y547" s="2">
        <v>0</v>
      </c>
      <c r="Z547" s="2">
        <v>0</v>
      </c>
      <c r="AA547" s="2">
        <v>0</v>
      </c>
      <c r="AB547" s="2">
        <v>0</v>
      </c>
      <c r="AC547" s="2">
        <v>0</v>
      </c>
      <c r="AD547" s="2">
        <v>0</v>
      </c>
      <c r="AE547" s="2">
        <v>509.3</v>
      </c>
      <c r="AF547" s="2">
        <v>0</v>
      </c>
      <c r="AG547" s="2">
        <v>0</v>
      </c>
      <c r="AH547" s="2">
        <v>0</v>
      </c>
      <c r="AI547" s="2">
        <v>0</v>
      </c>
      <c r="AJ547" s="2">
        <v>1348.5</v>
      </c>
      <c r="AK547" s="2">
        <v>0</v>
      </c>
      <c r="AL547" s="2">
        <v>0</v>
      </c>
      <c r="AM547" s="2">
        <v>0</v>
      </c>
      <c r="AN547" s="2">
        <v>0</v>
      </c>
      <c r="AO547" s="2">
        <v>0</v>
      </c>
      <c r="AP547" s="2">
        <v>0</v>
      </c>
      <c r="AQ547" s="2">
        <v>0</v>
      </c>
      <c r="AR547" s="2">
        <v>0</v>
      </c>
      <c r="AS547" s="2">
        <v>0</v>
      </c>
      <c r="AT547" s="2">
        <v>0</v>
      </c>
      <c r="AU547" s="2">
        <v>0</v>
      </c>
      <c r="AV547" s="2">
        <v>0</v>
      </c>
      <c r="AW547" s="1">
        <v>543</v>
      </c>
    </row>
    <row r="548" spans="1:49" ht="12.75">
      <c r="A548" s="5">
        <v>7510</v>
      </c>
      <c r="B548" s="2" t="s">
        <v>117</v>
      </c>
      <c r="C548" s="305">
        <v>0</v>
      </c>
      <c r="D548" s="305">
        <v>0</v>
      </c>
      <c r="E548" s="305">
        <v>0</v>
      </c>
      <c r="F548" s="305">
        <v>27575</v>
      </c>
      <c r="G548" s="305">
        <v>0</v>
      </c>
      <c r="H548" s="305">
        <v>21704</v>
      </c>
      <c r="I548" s="305">
        <v>0</v>
      </c>
      <c r="K548" s="3" t="s">
        <v>982</v>
      </c>
      <c r="L548" s="365"/>
      <c r="M548" s="2">
        <v>27575</v>
      </c>
      <c r="N548" s="311">
        <v>742</v>
      </c>
      <c r="O548" s="310" t="s">
        <v>67</v>
      </c>
      <c r="V548" s="1">
        <v>1</v>
      </c>
      <c r="W548" s="1" t="s">
        <v>370</v>
      </c>
      <c r="X548" s="1" t="s">
        <v>1442</v>
      </c>
      <c r="Y548" s="2">
        <v>0</v>
      </c>
      <c r="Z548" s="2">
        <v>21704</v>
      </c>
      <c r="AA548" s="2">
        <v>0</v>
      </c>
      <c r="AB548" s="2">
        <v>0</v>
      </c>
      <c r="AC548" s="2">
        <v>0</v>
      </c>
      <c r="AD548" s="2">
        <v>0</v>
      </c>
      <c r="AE548" s="2">
        <v>0</v>
      </c>
      <c r="AF548" s="2">
        <v>0</v>
      </c>
      <c r="AG548" s="2">
        <v>0</v>
      </c>
      <c r="AH548" s="2">
        <v>0</v>
      </c>
      <c r="AI548" s="2">
        <v>0</v>
      </c>
      <c r="AJ548" s="2">
        <v>0</v>
      </c>
      <c r="AK548" s="2">
        <v>0</v>
      </c>
      <c r="AL548" s="2">
        <v>22857</v>
      </c>
      <c r="AM548" s="2">
        <v>0</v>
      </c>
      <c r="AN548" s="2">
        <v>0</v>
      </c>
      <c r="AO548" s="2">
        <v>0</v>
      </c>
      <c r="AP548" s="2">
        <v>4718</v>
      </c>
      <c r="AQ548" s="2">
        <v>0</v>
      </c>
      <c r="AR548" s="2">
        <v>0</v>
      </c>
      <c r="AS548" s="2">
        <v>0</v>
      </c>
      <c r="AT548" s="2">
        <v>0</v>
      </c>
      <c r="AU548" s="2">
        <v>0</v>
      </c>
      <c r="AV548" s="2">
        <v>0</v>
      </c>
      <c r="AW548" s="1">
        <v>544</v>
      </c>
    </row>
    <row r="549" spans="1:49" ht="12.75">
      <c r="A549" s="5">
        <v>7512</v>
      </c>
      <c r="B549" s="2" t="s">
        <v>319</v>
      </c>
      <c r="C549" s="305">
        <v>1904.75</v>
      </c>
      <c r="D549" s="305">
        <v>0</v>
      </c>
      <c r="E549" s="305">
        <v>1808.67</v>
      </c>
      <c r="F549" s="305">
        <v>-288.28</v>
      </c>
      <c r="G549" s="305">
        <v>0</v>
      </c>
      <c r="H549" s="305">
        <v>-1521.75</v>
      </c>
      <c r="I549" s="305">
        <v>0</v>
      </c>
      <c r="K549" s="3" t="s">
        <v>982</v>
      </c>
      <c r="L549" s="365"/>
      <c r="M549" s="2">
        <v>-288.28</v>
      </c>
      <c r="N549" s="311">
        <v>742</v>
      </c>
      <c r="O549" s="310" t="s">
        <v>67</v>
      </c>
      <c r="V549" s="1">
        <v>1</v>
      </c>
      <c r="W549" s="1" t="s">
        <v>370</v>
      </c>
      <c r="X549" s="1" t="s">
        <v>1442</v>
      </c>
      <c r="Y549" s="2">
        <v>1301.42</v>
      </c>
      <c r="Z549" s="2">
        <v>-20402.58</v>
      </c>
      <c r="AA549" s="2">
        <v>1301.38</v>
      </c>
      <c r="AB549" s="2">
        <v>1808.67</v>
      </c>
      <c r="AC549" s="2">
        <v>1808.67</v>
      </c>
      <c r="AD549" s="2">
        <v>1808.67</v>
      </c>
      <c r="AE549" s="2">
        <v>1808.67</v>
      </c>
      <c r="AF549" s="2">
        <v>1808.67</v>
      </c>
      <c r="AG549" s="2">
        <v>1808.67</v>
      </c>
      <c r="AH549" s="2">
        <v>1808.67</v>
      </c>
      <c r="AI549" s="2">
        <v>1808.67</v>
      </c>
      <c r="AJ549" s="2">
        <v>1808.67</v>
      </c>
      <c r="AK549" s="2">
        <v>1808.67</v>
      </c>
      <c r="AL549" s="2">
        <v>-21048.33</v>
      </c>
      <c r="AM549" s="2">
        <v>1808.63</v>
      </c>
      <c r="AN549" s="2">
        <v>1904.75</v>
      </c>
      <c r="AO549" s="2">
        <v>1904.75</v>
      </c>
      <c r="AP549" s="2">
        <v>1904.75</v>
      </c>
      <c r="AQ549" s="2">
        <v>1904.75</v>
      </c>
      <c r="AR549" s="2">
        <v>1904.75</v>
      </c>
      <c r="AS549" s="2">
        <v>1904.75</v>
      </c>
      <c r="AT549" s="2">
        <v>1904.75</v>
      </c>
      <c r="AU549" s="2">
        <v>1904.75</v>
      </c>
      <c r="AV549" s="2">
        <v>1904.75</v>
      </c>
      <c r="AW549" s="1">
        <v>545</v>
      </c>
    </row>
    <row r="550" spans="1:49" ht="12.75">
      <c r="A550" s="5">
        <v>7520</v>
      </c>
      <c r="B550" s="2" t="s">
        <v>1443</v>
      </c>
      <c r="C550" s="305">
        <v>6281.66</v>
      </c>
      <c r="D550" s="305">
        <v>0</v>
      </c>
      <c r="E550" s="305">
        <v>0</v>
      </c>
      <c r="F550" s="305">
        <v>6281.66</v>
      </c>
      <c r="G550" s="305">
        <v>0</v>
      </c>
      <c r="H550" s="305">
        <v>4368</v>
      </c>
      <c r="I550" s="305">
        <v>0</v>
      </c>
      <c r="K550" s="3" t="s">
        <v>982</v>
      </c>
      <c r="L550" s="365"/>
      <c r="M550" s="2">
        <v>6281.66</v>
      </c>
      <c r="N550" s="311">
        <v>742</v>
      </c>
      <c r="O550" s="310" t="s">
        <v>67</v>
      </c>
      <c r="V550" s="1">
        <v>1</v>
      </c>
      <c r="W550" s="1" t="s">
        <v>370</v>
      </c>
      <c r="X550" s="1" t="s">
        <v>1442</v>
      </c>
      <c r="Y550" s="2">
        <v>0</v>
      </c>
      <c r="Z550" s="2">
        <v>0</v>
      </c>
      <c r="AA550" s="2">
        <v>0</v>
      </c>
      <c r="AB550" s="2">
        <v>0</v>
      </c>
      <c r="AC550" s="2">
        <v>0</v>
      </c>
      <c r="AD550" s="2">
        <v>4368</v>
      </c>
      <c r="AE550" s="2">
        <v>0</v>
      </c>
      <c r="AF550" s="2">
        <v>0</v>
      </c>
      <c r="AG550" s="2">
        <v>0</v>
      </c>
      <c r="AH550" s="2">
        <v>0</v>
      </c>
      <c r="AI550" s="2">
        <v>0</v>
      </c>
      <c r="AJ550" s="2">
        <v>0</v>
      </c>
      <c r="AK550" s="2">
        <v>0</v>
      </c>
      <c r="AL550" s="2">
        <v>0</v>
      </c>
      <c r="AM550" s="2">
        <v>0</v>
      </c>
      <c r="AN550" s="2">
        <v>0</v>
      </c>
      <c r="AO550" s="2">
        <v>0</v>
      </c>
      <c r="AP550" s="2">
        <v>0</v>
      </c>
      <c r="AQ550" s="2">
        <v>0</v>
      </c>
      <c r="AR550" s="2">
        <v>0</v>
      </c>
      <c r="AS550" s="2">
        <v>0</v>
      </c>
      <c r="AT550" s="2">
        <v>0</v>
      </c>
      <c r="AU550" s="2">
        <v>0</v>
      </c>
      <c r="AV550" s="2">
        <v>6281.66</v>
      </c>
      <c r="AW550" s="1">
        <v>546</v>
      </c>
    </row>
    <row r="551" spans="1:49" ht="12.75">
      <c r="A551" s="5">
        <v>7770</v>
      </c>
      <c r="B551" s="2" t="s">
        <v>100</v>
      </c>
      <c r="C551" s="305">
        <v>1334.91</v>
      </c>
      <c r="D551" s="305">
        <v>0</v>
      </c>
      <c r="E551" s="305">
        <v>1270.22</v>
      </c>
      <c r="F551" s="305">
        <v>15401.19</v>
      </c>
      <c r="G551" s="305">
        <v>0</v>
      </c>
      <c r="H551" s="305">
        <v>14893.34</v>
      </c>
      <c r="I551" s="305">
        <v>0</v>
      </c>
      <c r="K551" s="3" t="s">
        <v>982</v>
      </c>
      <c r="L551" s="365"/>
      <c r="M551" s="2">
        <v>15401.19</v>
      </c>
      <c r="N551" s="311">
        <v>771</v>
      </c>
      <c r="O551" s="310" t="s">
        <v>71</v>
      </c>
      <c r="V551" s="1">
        <v>1</v>
      </c>
      <c r="W551" s="1" t="s">
        <v>370</v>
      </c>
      <c r="X551" s="1" t="s">
        <v>1444</v>
      </c>
      <c r="Y551" s="2">
        <v>1102.24</v>
      </c>
      <c r="Z551" s="2">
        <v>1093.25</v>
      </c>
      <c r="AA551" s="2">
        <v>1156.76</v>
      </c>
      <c r="AB551" s="2">
        <v>1069.69</v>
      </c>
      <c r="AC551" s="2">
        <v>1466.06</v>
      </c>
      <c r="AD551" s="2">
        <v>1711.09</v>
      </c>
      <c r="AE551" s="2">
        <v>1434.89</v>
      </c>
      <c r="AF551" s="2">
        <v>931.76</v>
      </c>
      <c r="AG551" s="2">
        <v>1235.48</v>
      </c>
      <c r="AH551" s="2">
        <v>1184.26</v>
      </c>
      <c r="AI551" s="2">
        <v>1237.64</v>
      </c>
      <c r="AJ551" s="2">
        <v>1270.22</v>
      </c>
      <c r="AK551" s="2">
        <v>-651</v>
      </c>
      <c r="AL551" s="2">
        <v>791.97</v>
      </c>
      <c r="AM551" s="2">
        <v>1153.2</v>
      </c>
      <c r="AN551" s="2">
        <v>1458.18</v>
      </c>
      <c r="AO551" s="2">
        <v>1558.3</v>
      </c>
      <c r="AP551" s="2">
        <v>1387.26</v>
      </c>
      <c r="AQ551" s="2">
        <v>1540.83</v>
      </c>
      <c r="AR551" s="2">
        <v>3108.61</v>
      </c>
      <c r="AS551" s="2">
        <v>1461.92</v>
      </c>
      <c r="AT551" s="2">
        <v>1463.07</v>
      </c>
      <c r="AU551" s="2">
        <v>793.94</v>
      </c>
      <c r="AV551" s="2">
        <v>1334.91</v>
      </c>
      <c r="AW551" s="1">
        <v>547</v>
      </c>
    </row>
    <row r="552" spans="1:49" ht="12.75">
      <c r="A552" s="5">
        <v>7771</v>
      </c>
      <c r="B552" s="2" t="s">
        <v>449</v>
      </c>
      <c r="C552" s="305">
        <v>0</v>
      </c>
      <c r="D552" s="305">
        <v>0</v>
      </c>
      <c r="E552" s="305">
        <v>-0.13</v>
      </c>
      <c r="F552" s="305">
        <v>-1.15</v>
      </c>
      <c r="G552" s="305">
        <v>0</v>
      </c>
      <c r="H552" s="305">
        <v>0.89</v>
      </c>
      <c r="I552" s="305">
        <v>0</v>
      </c>
      <c r="K552" s="3" t="s">
        <v>23</v>
      </c>
      <c r="L552" s="365"/>
      <c r="M552" s="2">
        <v>-1.15</v>
      </c>
      <c r="N552" s="311">
        <v>741</v>
      </c>
      <c r="O552" s="310" t="s">
        <v>65</v>
      </c>
      <c r="V552" s="1">
        <v>1</v>
      </c>
      <c r="W552" s="1" t="s">
        <v>450</v>
      </c>
      <c r="X552" s="1" t="s">
        <v>448</v>
      </c>
      <c r="Y552" s="2">
        <v>0</v>
      </c>
      <c r="Z552" s="2">
        <v>0.36</v>
      </c>
      <c r="AA552" s="2">
        <v>0</v>
      </c>
      <c r="AB552" s="2">
        <v>0.2</v>
      </c>
      <c r="AC552" s="2">
        <v>0</v>
      </c>
      <c r="AD552" s="2">
        <v>-0.09</v>
      </c>
      <c r="AE552" s="2">
        <v>0</v>
      </c>
      <c r="AF552" s="2">
        <v>0.35</v>
      </c>
      <c r="AG552" s="2">
        <v>0</v>
      </c>
      <c r="AH552" s="2">
        <v>0.2</v>
      </c>
      <c r="AI552" s="2">
        <v>0</v>
      </c>
      <c r="AJ552" s="2">
        <v>-0.13</v>
      </c>
      <c r="AK552" s="2">
        <v>0</v>
      </c>
      <c r="AL552" s="2">
        <v>-0.68</v>
      </c>
      <c r="AM552" s="2">
        <v>0</v>
      </c>
      <c r="AN552" s="2">
        <v>0.58</v>
      </c>
      <c r="AO552" s="2">
        <v>0</v>
      </c>
      <c r="AP552" s="2">
        <v>-1.05</v>
      </c>
      <c r="AQ552" s="2">
        <v>0</v>
      </c>
      <c r="AR552" s="2">
        <v>0</v>
      </c>
      <c r="AS552" s="2">
        <v>0</v>
      </c>
      <c r="AT552" s="2">
        <v>0</v>
      </c>
      <c r="AU552" s="2">
        <v>0</v>
      </c>
      <c r="AV552" s="2">
        <v>0</v>
      </c>
      <c r="AW552" s="1">
        <v>548</v>
      </c>
    </row>
    <row r="553" spans="1:49" ht="12.75">
      <c r="A553" s="5">
        <v>7771</v>
      </c>
      <c r="B553" s="2" t="s">
        <v>449</v>
      </c>
      <c r="C553" s="305">
        <v>5.41</v>
      </c>
      <c r="D553" s="305">
        <v>0</v>
      </c>
      <c r="E553" s="305">
        <v>2.59</v>
      </c>
      <c r="F553" s="305">
        <v>71.23</v>
      </c>
      <c r="G553" s="305">
        <v>0</v>
      </c>
      <c r="H553" s="305">
        <v>12.59</v>
      </c>
      <c r="I553" s="305">
        <v>0</v>
      </c>
      <c r="K553" s="3" t="s">
        <v>982</v>
      </c>
      <c r="L553" s="365"/>
      <c r="M553" s="2">
        <v>71.23</v>
      </c>
      <c r="N553" s="311">
        <v>741</v>
      </c>
      <c r="O553" s="310" t="s">
        <v>65</v>
      </c>
      <c r="V553" s="1">
        <v>1</v>
      </c>
      <c r="W553" s="1" t="s">
        <v>450</v>
      </c>
      <c r="X553" s="1" t="s">
        <v>1409</v>
      </c>
      <c r="Y553" s="2">
        <v>0</v>
      </c>
      <c r="Z553" s="2">
        <v>0</v>
      </c>
      <c r="AA553" s="2">
        <v>0</v>
      </c>
      <c r="AB553" s="2">
        <v>0</v>
      </c>
      <c r="AC553" s="2">
        <v>0</v>
      </c>
      <c r="AD553" s="2">
        <v>0</v>
      </c>
      <c r="AE553" s="2">
        <v>0.03</v>
      </c>
      <c r="AF553" s="2">
        <v>-0.05</v>
      </c>
      <c r="AG553" s="2">
        <v>7.27</v>
      </c>
      <c r="AH553" s="2">
        <v>2.23</v>
      </c>
      <c r="AI553" s="2">
        <v>0.52</v>
      </c>
      <c r="AJ553" s="2">
        <v>2.59</v>
      </c>
      <c r="AK553" s="2">
        <v>4.16</v>
      </c>
      <c r="AL553" s="2">
        <v>9.64</v>
      </c>
      <c r="AM553" s="2">
        <v>6.66</v>
      </c>
      <c r="AN553" s="2">
        <v>3.12</v>
      </c>
      <c r="AO553" s="2">
        <v>4.48</v>
      </c>
      <c r="AP553" s="2">
        <v>4.47</v>
      </c>
      <c r="AQ553" s="2">
        <v>3.59</v>
      </c>
      <c r="AR553" s="2">
        <v>5.37</v>
      </c>
      <c r="AS553" s="2">
        <v>8.1</v>
      </c>
      <c r="AT553" s="2">
        <v>6.28</v>
      </c>
      <c r="AU553" s="2">
        <v>9.95</v>
      </c>
      <c r="AV553" s="2">
        <v>5.41</v>
      </c>
      <c r="AW553" s="1">
        <v>549</v>
      </c>
    </row>
    <row r="554" spans="1:49" ht="12.75">
      <c r="A554" s="5">
        <v>7780</v>
      </c>
      <c r="B554" s="2" t="s">
        <v>451</v>
      </c>
      <c r="C554" s="305">
        <v>0</v>
      </c>
      <c r="D554" s="305">
        <v>0</v>
      </c>
      <c r="E554" s="305">
        <v>386</v>
      </c>
      <c r="F554" s="305">
        <v>178.79</v>
      </c>
      <c r="G554" s="305">
        <v>0</v>
      </c>
      <c r="H554" s="305">
        <v>2536</v>
      </c>
      <c r="I554" s="305">
        <v>0</v>
      </c>
      <c r="K554" s="3" t="s">
        <v>982</v>
      </c>
      <c r="L554" s="365"/>
      <c r="M554" s="2">
        <v>178.79</v>
      </c>
      <c r="N554" s="311">
        <v>771</v>
      </c>
      <c r="O554" s="310" t="s">
        <v>71</v>
      </c>
      <c r="V554" s="1">
        <v>1</v>
      </c>
      <c r="W554" s="1" t="s">
        <v>370</v>
      </c>
      <c r="X554" s="1" t="s">
        <v>1444</v>
      </c>
      <c r="Y554" s="2">
        <v>0</v>
      </c>
      <c r="Z554" s="2">
        <v>0</v>
      </c>
      <c r="AA554" s="2">
        <v>950</v>
      </c>
      <c r="AB554" s="2">
        <v>960</v>
      </c>
      <c r="AC554" s="2">
        <v>40</v>
      </c>
      <c r="AD554" s="2">
        <v>40</v>
      </c>
      <c r="AE554" s="2">
        <v>40</v>
      </c>
      <c r="AF554" s="2">
        <v>40</v>
      </c>
      <c r="AG554" s="2">
        <v>40</v>
      </c>
      <c r="AH554" s="2">
        <v>40</v>
      </c>
      <c r="AI554" s="2">
        <v>0</v>
      </c>
      <c r="AJ554" s="2">
        <v>386</v>
      </c>
      <c r="AK554" s="2">
        <v>0</v>
      </c>
      <c r="AL554" s="2">
        <v>0</v>
      </c>
      <c r="AM554" s="2">
        <v>0</v>
      </c>
      <c r="AN554" s="2">
        <v>40</v>
      </c>
      <c r="AO554" s="2">
        <v>40</v>
      </c>
      <c r="AP554" s="2">
        <v>63.79</v>
      </c>
      <c r="AQ554" s="2">
        <v>35</v>
      </c>
      <c r="AR554" s="2">
        <v>0</v>
      </c>
      <c r="AS554" s="2">
        <v>0</v>
      </c>
      <c r="AT554" s="2">
        <v>0</v>
      </c>
      <c r="AU554" s="2">
        <v>0</v>
      </c>
      <c r="AV554" s="2">
        <v>0</v>
      </c>
      <c r="AW554" s="1">
        <v>550</v>
      </c>
    </row>
    <row r="555" spans="1:49" ht="12.75">
      <c r="A555" s="5">
        <v>7785</v>
      </c>
      <c r="B555" s="2" t="s">
        <v>427</v>
      </c>
      <c r="C555" s="305">
        <v>3922.24</v>
      </c>
      <c r="D555" s="305">
        <v>0</v>
      </c>
      <c r="E555" s="305">
        <v>10069.92</v>
      </c>
      <c r="F555" s="305">
        <v>55429.55</v>
      </c>
      <c r="G555" s="305">
        <v>0</v>
      </c>
      <c r="H555" s="305">
        <v>6303.58</v>
      </c>
      <c r="I555" s="305">
        <v>0</v>
      </c>
      <c r="K555" s="3" t="s">
        <v>982</v>
      </c>
      <c r="L555" s="365"/>
      <c r="M555" s="2">
        <v>55429.55</v>
      </c>
      <c r="N555" s="311">
        <v>772</v>
      </c>
      <c r="O555" s="310" t="s">
        <v>459</v>
      </c>
      <c r="V555" s="1">
        <v>1</v>
      </c>
      <c r="W555" s="1" t="s">
        <v>370</v>
      </c>
      <c r="X555" s="1" t="s">
        <v>1445</v>
      </c>
      <c r="Y555" s="2">
        <v>2458.01</v>
      </c>
      <c r="Z555" s="2">
        <v>2567.83</v>
      </c>
      <c r="AA555" s="2">
        <v>3011.64</v>
      </c>
      <c r="AB555" s="2">
        <v>12853.08</v>
      </c>
      <c r="AC555" s="2">
        <v>4267.02</v>
      </c>
      <c r="AD555" s="2">
        <v>4203.74</v>
      </c>
      <c r="AE555" s="2">
        <v>5312.84</v>
      </c>
      <c r="AF555" s="2">
        <v>4165.79</v>
      </c>
      <c r="AG555" s="2">
        <v>-54391.74</v>
      </c>
      <c r="AH555" s="2">
        <v>11785.45</v>
      </c>
      <c r="AI555" s="2">
        <v>0</v>
      </c>
      <c r="AJ555" s="2">
        <v>10069.92</v>
      </c>
      <c r="AK555" s="2">
        <v>2320.36</v>
      </c>
      <c r="AL555" s="2">
        <v>2306.63</v>
      </c>
      <c r="AM555" s="2">
        <v>3067.7</v>
      </c>
      <c r="AN555" s="2">
        <v>8256.59</v>
      </c>
      <c r="AO555" s="2">
        <v>3640.32</v>
      </c>
      <c r="AP555" s="2">
        <v>4559.57</v>
      </c>
      <c r="AQ555" s="2">
        <v>8193.91</v>
      </c>
      <c r="AR555" s="2">
        <v>5688.7</v>
      </c>
      <c r="AS555" s="2">
        <v>4830.32</v>
      </c>
      <c r="AT555" s="2">
        <v>4398.4</v>
      </c>
      <c r="AU555" s="2">
        <v>4244.81</v>
      </c>
      <c r="AV555" s="2">
        <v>3922.24</v>
      </c>
      <c r="AW555" s="1">
        <v>551</v>
      </c>
    </row>
    <row r="556" spans="1:49" ht="12.75">
      <c r="A556" s="5">
        <v>7790</v>
      </c>
      <c r="B556" s="2" t="s">
        <v>87</v>
      </c>
      <c r="C556" s="305">
        <v>0.04</v>
      </c>
      <c r="D556" s="305">
        <v>0</v>
      </c>
      <c r="E556" s="305">
        <v>-3647.21</v>
      </c>
      <c r="F556" s="305">
        <v>18499.63</v>
      </c>
      <c r="G556" s="305">
        <v>0</v>
      </c>
      <c r="H556" s="305">
        <v>5293.43</v>
      </c>
      <c r="I556" s="305">
        <v>0</v>
      </c>
      <c r="K556" s="3" t="s">
        <v>982</v>
      </c>
      <c r="L556" s="365"/>
      <c r="M556" s="2">
        <v>18499.63</v>
      </c>
      <c r="N556" s="311">
        <v>741</v>
      </c>
      <c r="O556" s="310" t="s">
        <v>65</v>
      </c>
      <c r="V556" s="1">
        <v>1</v>
      </c>
      <c r="W556" s="1" t="s">
        <v>370</v>
      </c>
      <c r="X556" s="1" t="s">
        <v>1409</v>
      </c>
      <c r="Y556" s="2">
        <v>0</v>
      </c>
      <c r="Z556" s="2">
        <v>1562.5</v>
      </c>
      <c r="AA556" s="2">
        <v>0</v>
      </c>
      <c r="AB556" s="2">
        <v>340</v>
      </c>
      <c r="AC556" s="2">
        <v>0</v>
      </c>
      <c r="AD556" s="2">
        <v>0</v>
      </c>
      <c r="AE556" s="2">
        <v>0</v>
      </c>
      <c r="AF556" s="2">
        <v>5750</v>
      </c>
      <c r="AG556" s="2">
        <v>0.1</v>
      </c>
      <c r="AH556" s="2">
        <v>0.04</v>
      </c>
      <c r="AI556" s="2">
        <v>1288</v>
      </c>
      <c r="AJ556" s="2">
        <v>-3647.21</v>
      </c>
      <c r="AK556" s="2">
        <v>0</v>
      </c>
      <c r="AL556" s="2">
        <v>2906.57</v>
      </c>
      <c r="AM556" s="2">
        <v>4649.96</v>
      </c>
      <c r="AN556" s="2">
        <v>0.04</v>
      </c>
      <c r="AO556" s="2">
        <v>494.98</v>
      </c>
      <c r="AP556" s="2">
        <v>-0.05</v>
      </c>
      <c r="AQ556" s="2">
        <v>1299.9</v>
      </c>
      <c r="AR556" s="2">
        <v>8075.2</v>
      </c>
      <c r="AS556" s="2">
        <v>1073.01</v>
      </c>
      <c r="AT556" s="2">
        <v>0.08</v>
      </c>
      <c r="AU556" s="2">
        <v>-0.1</v>
      </c>
      <c r="AV556" s="2">
        <v>0.04</v>
      </c>
      <c r="AW556" s="1">
        <v>552</v>
      </c>
    </row>
    <row r="557" spans="1:49" ht="12.75">
      <c r="A557" s="5">
        <v>7793</v>
      </c>
      <c r="B557" s="2" t="s">
        <v>126</v>
      </c>
      <c r="C557" s="305">
        <v>-8269</v>
      </c>
      <c r="D557" s="305">
        <v>0</v>
      </c>
      <c r="E557" s="305">
        <v>542.5</v>
      </c>
      <c r="F557" s="305">
        <v>-156.91</v>
      </c>
      <c r="G557" s="305">
        <v>0</v>
      </c>
      <c r="H557" s="305">
        <v>1292.95</v>
      </c>
      <c r="I557" s="305">
        <v>0</v>
      </c>
      <c r="K557" s="3" t="s">
        <v>982</v>
      </c>
      <c r="L557" s="365"/>
      <c r="M557" s="2">
        <v>-156.91</v>
      </c>
      <c r="N557" s="311">
        <v>744</v>
      </c>
      <c r="O557" s="310" t="s">
        <v>126</v>
      </c>
      <c r="V557" s="1">
        <v>1</v>
      </c>
      <c r="W557" s="1" t="s">
        <v>370</v>
      </c>
      <c r="X557" s="1" t="s">
        <v>1446</v>
      </c>
      <c r="Y557" s="2">
        <v>2223.06</v>
      </c>
      <c r="Z557" s="2">
        <v>-2427.99</v>
      </c>
      <c r="AA557" s="2">
        <v>-477.51</v>
      </c>
      <c r="AB557" s="2">
        <v>-1784.27</v>
      </c>
      <c r="AC557" s="2">
        <v>53.25</v>
      </c>
      <c r="AD557" s="2">
        <v>507.62</v>
      </c>
      <c r="AE557" s="2">
        <v>-6326.47</v>
      </c>
      <c r="AF557" s="2">
        <v>-2605.24</v>
      </c>
      <c r="AG557" s="2">
        <v>6967.5</v>
      </c>
      <c r="AH557" s="2">
        <v>4625.5</v>
      </c>
      <c r="AI557" s="2">
        <v>-5</v>
      </c>
      <c r="AJ557" s="2">
        <v>542.5</v>
      </c>
      <c r="AK557" s="2">
        <v>-7</v>
      </c>
      <c r="AL557" s="2">
        <v>-611</v>
      </c>
      <c r="AM557" s="2">
        <v>766.95</v>
      </c>
      <c r="AN557" s="2">
        <v>-4.5</v>
      </c>
      <c r="AO557" s="2">
        <v>-6</v>
      </c>
      <c r="AP557" s="2">
        <v>161.6</v>
      </c>
      <c r="AQ557" s="2">
        <v>76.5</v>
      </c>
      <c r="AR557" s="2">
        <v>-7.46</v>
      </c>
      <c r="AS557" s="2">
        <v>-10</v>
      </c>
      <c r="AT557" s="2">
        <v>-10</v>
      </c>
      <c r="AU557" s="2">
        <v>7763</v>
      </c>
      <c r="AV557" s="2">
        <v>-8269</v>
      </c>
      <c r="AW557" s="1">
        <v>553</v>
      </c>
    </row>
    <row r="558" spans="1:49" ht="12.75">
      <c r="A558" s="5">
        <v>7794</v>
      </c>
      <c r="B558" s="2" t="s">
        <v>908</v>
      </c>
      <c r="C558" s="305">
        <v>0</v>
      </c>
      <c r="D558" s="305">
        <v>0</v>
      </c>
      <c r="E558" s="305">
        <v>0</v>
      </c>
      <c r="F558" s="305">
        <v>815</v>
      </c>
      <c r="G558" s="305">
        <v>0</v>
      </c>
      <c r="H558" s="305">
        <v>35</v>
      </c>
      <c r="I558" s="305">
        <v>0</v>
      </c>
      <c r="K558" s="3" t="s">
        <v>982</v>
      </c>
      <c r="L558" s="365"/>
      <c r="M558" s="2">
        <v>815</v>
      </c>
      <c r="N558" s="311">
        <v>780</v>
      </c>
      <c r="O558" s="310" t="s">
        <v>460</v>
      </c>
      <c r="V558" s="1">
        <v>1</v>
      </c>
      <c r="W558" s="1" t="s">
        <v>370</v>
      </c>
      <c r="X558" s="1" t="s">
        <v>1447</v>
      </c>
      <c r="Y558" s="2">
        <v>0</v>
      </c>
      <c r="Z558" s="2">
        <v>0</v>
      </c>
      <c r="AA558" s="2">
        <v>0</v>
      </c>
      <c r="AB558" s="2">
        <v>0</v>
      </c>
      <c r="AC558" s="2">
        <v>35</v>
      </c>
      <c r="AD558" s="2">
        <v>0</v>
      </c>
      <c r="AE558" s="2">
        <v>0</v>
      </c>
      <c r="AF558" s="2">
        <v>0</v>
      </c>
      <c r="AG558" s="2">
        <v>0</v>
      </c>
      <c r="AH558" s="2">
        <v>0</v>
      </c>
      <c r="AI558" s="2">
        <v>0</v>
      </c>
      <c r="AJ558" s="2">
        <v>0</v>
      </c>
      <c r="AK558" s="2">
        <v>0</v>
      </c>
      <c r="AL558" s="2">
        <v>0</v>
      </c>
      <c r="AM558" s="2">
        <v>560</v>
      </c>
      <c r="AN558" s="2">
        <v>70</v>
      </c>
      <c r="AO558" s="2">
        <v>0</v>
      </c>
      <c r="AP558" s="2">
        <v>0</v>
      </c>
      <c r="AQ558" s="2">
        <v>0</v>
      </c>
      <c r="AR558" s="2">
        <v>0</v>
      </c>
      <c r="AS558" s="2">
        <v>0</v>
      </c>
      <c r="AT558" s="2">
        <v>35</v>
      </c>
      <c r="AU558" s="2">
        <v>150</v>
      </c>
      <c r="AV558" s="2">
        <v>0</v>
      </c>
      <c r="AW558" s="1">
        <v>554</v>
      </c>
    </row>
    <row r="559" spans="1:49" ht="12.75">
      <c r="A559" s="5">
        <v>7795</v>
      </c>
      <c r="B559" s="2" t="s">
        <v>452</v>
      </c>
      <c r="C559" s="305">
        <v>0</v>
      </c>
      <c r="D559" s="305">
        <v>0</v>
      </c>
      <c r="E559" s="305">
        <v>0</v>
      </c>
      <c r="F559" s="305">
        <v>4531</v>
      </c>
      <c r="G559" s="305">
        <v>0</v>
      </c>
      <c r="H559" s="305">
        <v>3310</v>
      </c>
      <c r="I559" s="305">
        <v>0</v>
      </c>
      <c r="K559" s="3" t="s">
        <v>982</v>
      </c>
      <c r="L559" s="365"/>
      <c r="M559" s="2">
        <v>4531</v>
      </c>
      <c r="N559" s="311">
        <v>780</v>
      </c>
      <c r="O559" s="310" t="s">
        <v>460</v>
      </c>
      <c r="V559" s="1">
        <v>1</v>
      </c>
      <c r="W559" s="1" t="s">
        <v>370</v>
      </c>
      <c r="X559" s="1" t="s">
        <v>1447</v>
      </c>
      <c r="Y559" s="2">
        <v>0</v>
      </c>
      <c r="Z559" s="2">
        <v>0</v>
      </c>
      <c r="AA559" s="2">
        <v>600</v>
      </c>
      <c r="AB559" s="2">
        <v>0</v>
      </c>
      <c r="AC559" s="2">
        <v>0</v>
      </c>
      <c r="AD559" s="2">
        <v>900</v>
      </c>
      <c r="AE559" s="2">
        <v>0</v>
      </c>
      <c r="AF559" s="2">
        <v>0</v>
      </c>
      <c r="AG559" s="2">
        <v>1810</v>
      </c>
      <c r="AH559" s="2">
        <v>0</v>
      </c>
      <c r="AI559" s="2">
        <v>0</v>
      </c>
      <c r="AJ559" s="2">
        <v>0</v>
      </c>
      <c r="AK559" s="2">
        <v>0</v>
      </c>
      <c r="AL559" s="2">
        <v>0</v>
      </c>
      <c r="AM559" s="2">
        <v>960</v>
      </c>
      <c r="AN559" s="2">
        <v>1029.5</v>
      </c>
      <c r="AO559" s="2">
        <v>0</v>
      </c>
      <c r="AP559" s="2">
        <v>1161.5</v>
      </c>
      <c r="AQ559" s="2">
        <v>0</v>
      </c>
      <c r="AR559" s="2">
        <v>0</v>
      </c>
      <c r="AS559" s="2">
        <v>1380</v>
      </c>
      <c r="AT559" s="2">
        <v>0</v>
      </c>
      <c r="AU559" s="2">
        <v>0</v>
      </c>
      <c r="AV559" s="2">
        <v>0</v>
      </c>
      <c r="AW559" s="1">
        <v>555</v>
      </c>
    </row>
    <row r="560" spans="1:49" ht="12.75">
      <c r="A560" s="5">
        <v>7799</v>
      </c>
      <c r="B560" s="2" t="s">
        <v>101</v>
      </c>
      <c r="C560" s="305">
        <v>-0.84</v>
      </c>
      <c r="D560" s="305">
        <v>0</v>
      </c>
      <c r="E560" s="305">
        <v>0.52</v>
      </c>
      <c r="F560" s="305">
        <v>1.21</v>
      </c>
      <c r="G560" s="305">
        <v>0</v>
      </c>
      <c r="H560" s="305">
        <v>3.28</v>
      </c>
      <c r="I560" s="305">
        <v>0</v>
      </c>
      <c r="K560" s="3" t="s">
        <v>982</v>
      </c>
      <c r="L560" s="365"/>
      <c r="M560" s="2">
        <v>1.21</v>
      </c>
      <c r="N560" s="311">
        <v>741</v>
      </c>
      <c r="O560" s="310" t="s">
        <v>65</v>
      </c>
      <c r="V560" s="1">
        <v>1</v>
      </c>
      <c r="W560" s="1" t="s">
        <v>370</v>
      </c>
      <c r="X560" s="1" t="s">
        <v>1409</v>
      </c>
      <c r="Y560" s="2">
        <v>1.06</v>
      </c>
      <c r="Z560" s="2">
        <v>0.55</v>
      </c>
      <c r="AA560" s="2">
        <v>-0.08</v>
      </c>
      <c r="AB560" s="2">
        <v>-1.2</v>
      </c>
      <c r="AC560" s="2">
        <v>0.36</v>
      </c>
      <c r="AD560" s="2">
        <v>2.1</v>
      </c>
      <c r="AE560" s="2">
        <v>0.35</v>
      </c>
      <c r="AF560" s="2">
        <v>-0.56</v>
      </c>
      <c r="AG560" s="2">
        <v>0.11</v>
      </c>
      <c r="AH560" s="2">
        <v>0.72</v>
      </c>
      <c r="AI560" s="2">
        <v>-0.65</v>
      </c>
      <c r="AJ560" s="2">
        <v>0.52</v>
      </c>
      <c r="AK560" s="2">
        <v>-1</v>
      </c>
      <c r="AL560" s="2">
        <v>0.49</v>
      </c>
      <c r="AM560" s="2">
        <v>-0.61</v>
      </c>
      <c r="AN560" s="2">
        <v>-0.61</v>
      </c>
      <c r="AO560" s="2">
        <v>0.81</v>
      </c>
      <c r="AP560" s="2">
        <v>1.88</v>
      </c>
      <c r="AQ560" s="2">
        <v>0.43</v>
      </c>
      <c r="AR560" s="2">
        <v>0.84</v>
      </c>
      <c r="AS560" s="2">
        <v>0.37</v>
      </c>
      <c r="AT560" s="2">
        <v>-0.7</v>
      </c>
      <c r="AU560" s="2">
        <v>0.15</v>
      </c>
      <c r="AV560" s="2">
        <v>-0.84</v>
      </c>
      <c r="AW560" s="1">
        <v>556</v>
      </c>
    </row>
    <row r="561" spans="1:49" ht="12.75">
      <c r="A561" s="5">
        <v>7800</v>
      </c>
      <c r="B561" s="2" t="s">
        <v>453</v>
      </c>
      <c r="C561" s="305">
        <v>-3473.18</v>
      </c>
      <c r="D561" s="305">
        <v>0</v>
      </c>
      <c r="E561" s="305">
        <v>160.13</v>
      </c>
      <c r="F561" s="305">
        <v>1699.04</v>
      </c>
      <c r="G561" s="305">
        <v>0</v>
      </c>
      <c r="H561" s="305">
        <v>-106.57</v>
      </c>
      <c r="I561" s="305">
        <v>0</v>
      </c>
      <c r="K561" s="3" t="s">
        <v>982</v>
      </c>
      <c r="L561" s="365"/>
      <c r="M561" s="2">
        <v>1699.04</v>
      </c>
      <c r="N561" s="311">
        <v>743</v>
      </c>
      <c r="O561" s="310" t="s">
        <v>69</v>
      </c>
      <c r="V561" s="1">
        <v>1</v>
      </c>
      <c r="W561" s="1" t="s">
        <v>370</v>
      </c>
      <c r="X561" s="1" t="s">
        <v>1448</v>
      </c>
      <c r="Y561" s="2">
        <v>1104.52</v>
      </c>
      <c r="Z561" s="2">
        <v>1726.21</v>
      </c>
      <c r="AA561" s="2">
        <v>4012.49</v>
      </c>
      <c r="AB561" s="2">
        <v>-6843.22</v>
      </c>
      <c r="AC561" s="2">
        <v>0</v>
      </c>
      <c r="AD561" s="2">
        <v>983.83</v>
      </c>
      <c r="AE561" s="2">
        <v>7771.6</v>
      </c>
      <c r="AF561" s="2">
        <v>-8755.43</v>
      </c>
      <c r="AG561" s="2">
        <v>-266.7</v>
      </c>
      <c r="AH561" s="2">
        <v>0</v>
      </c>
      <c r="AI561" s="2">
        <v>0</v>
      </c>
      <c r="AJ561" s="2">
        <v>160.13</v>
      </c>
      <c r="AK561" s="2">
        <v>518.34</v>
      </c>
      <c r="AL561" s="2">
        <v>-518.34</v>
      </c>
      <c r="AM561" s="2">
        <v>173.67</v>
      </c>
      <c r="AN561" s="2">
        <v>2357.56</v>
      </c>
      <c r="AO561" s="2">
        <v>-1250.02</v>
      </c>
      <c r="AP561" s="2">
        <v>911.02</v>
      </c>
      <c r="AQ561" s="2">
        <v>329.35</v>
      </c>
      <c r="AR561" s="2">
        <v>-1365.36</v>
      </c>
      <c r="AS561" s="2">
        <v>0</v>
      </c>
      <c r="AT561" s="2">
        <v>2035.79</v>
      </c>
      <c r="AU561" s="2">
        <v>1980.21</v>
      </c>
      <c r="AV561" s="2">
        <v>-3473.18</v>
      </c>
      <c r="AW561" s="1">
        <v>557</v>
      </c>
    </row>
    <row r="562" spans="1:49" ht="12.75">
      <c r="A562" s="5">
        <v>8050</v>
      </c>
      <c r="B562" s="2" t="s">
        <v>1449</v>
      </c>
      <c r="C562" s="305">
        <v>0</v>
      </c>
      <c r="D562" s="305">
        <v>0</v>
      </c>
      <c r="E562" s="305">
        <v>0</v>
      </c>
      <c r="F562" s="305">
        <v>-142</v>
      </c>
      <c r="G562" s="305">
        <v>0</v>
      </c>
      <c r="H562" s="305">
        <v>0</v>
      </c>
      <c r="I562" s="305">
        <v>0</v>
      </c>
      <c r="K562" s="3" t="s">
        <v>982</v>
      </c>
      <c r="L562" s="365"/>
      <c r="M562" s="2">
        <v>-142</v>
      </c>
      <c r="N562" s="311">
        <v>800</v>
      </c>
      <c r="O562" s="310" t="s">
        <v>77</v>
      </c>
      <c r="V562" s="1">
        <v>1</v>
      </c>
      <c r="W562" s="1" t="s">
        <v>1450</v>
      </c>
      <c r="X562" s="1" t="s">
        <v>1451</v>
      </c>
      <c r="Y562" s="2">
        <v>0</v>
      </c>
      <c r="Z562" s="2">
        <v>0</v>
      </c>
      <c r="AA562" s="2">
        <v>0</v>
      </c>
      <c r="AB562" s="2">
        <v>0</v>
      </c>
      <c r="AC562" s="2">
        <v>0</v>
      </c>
      <c r="AD562" s="2">
        <v>0</v>
      </c>
      <c r="AE562" s="2">
        <v>0</v>
      </c>
      <c r="AF562" s="2">
        <v>0</v>
      </c>
      <c r="AG562" s="2">
        <v>0</v>
      </c>
      <c r="AH562" s="2">
        <v>0</v>
      </c>
      <c r="AI562" s="2">
        <v>0</v>
      </c>
      <c r="AJ562" s="2">
        <v>0</v>
      </c>
      <c r="AK562" s="2">
        <v>0</v>
      </c>
      <c r="AL562" s="2">
        <v>0</v>
      </c>
      <c r="AM562" s="2">
        <v>0</v>
      </c>
      <c r="AN562" s="2">
        <v>0</v>
      </c>
      <c r="AO562" s="2">
        <v>0</v>
      </c>
      <c r="AP562" s="2">
        <v>0</v>
      </c>
      <c r="AQ562" s="2">
        <v>0</v>
      </c>
      <c r="AR562" s="2">
        <v>0</v>
      </c>
      <c r="AS562" s="2">
        <v>-142</v>
      </c>
      <c r="AT562" s="2">
        <v>0</v>
      </c>
      <c r="AU562" s="2">
        <v>0</v>
      </c>
      <c r="AV562" s="2">
        <v>0</v>
      </c>
      <c r="AW562" s="1">
        <v>558</v>
      </c>
    </row>
    <row r="563" spans="1:49" ht="12.75">
      <c r="A563" s="5">
        <v>8075</v>
      </c>
      <c r="B563" s="2" t="s">
        <v>1452</v>
      </c>
      <c r="C563" s="305">
        <v>-2967</v>
      </c>
      <c r="D563" s="305">
        <v>0</v>
      </c>
      <c r="E563" s="305">
        <v>-44218</v>
      </c>
      <c r="F563" s="305">
        <v>-8298</v>
      </c>
      <c r="G563" s="305">
        <v>0</v>
      </c>
      <c r="H563" s="305">
        <v>-49724</v>
      </c>
      <c r="I563" s="305">
        <v>0</v>
      </c>
      <c r="K563" s="3" t="s">
        <v>982</v>
      </c>
      <c r="L563" s="365"/>
      <c r="M563" s="2">
        <v>-8298</v>
      </c>
      <c r="N563" s="311">
        <v>800</v>
      </c>
      <c r="O563" s="310" t="s">
        <v>77</v>
      </c>
      <c r="V563" s="1">
        <v>1</v>
      </c>
      <c r="W563" s="1" t="s">
        <v>1450</v>
      </c>
      <c r="X563" s="1" t="s">
        <v>1451</v>
      </c>
      <c r="Y563" s="2">
        <v>0</v>
      </c>
      <c r="Z563" s="2">
        <v>0</v>
      </c>
      <c r="AA563" s="2">
        <v>-1400</v>
      </c>
      <c r="AB563" s="2">
        <v>0</v>
      </c>
      <c r="AC563" s="2">
        <v>0</v>
      </c>
      <c r="AD563" s="2">
        <v>-1563</v>
      </c>
      <c r="AE563" s="2">
        <v>0</v>
      </c>
      <c r="AF563" s="2">
        <v>0</v>
      </c>
      <c r="AG563" s="2">
        <v>-2543</v>
      </c>
      <c r="AH563" s="2">
        <v>0</v>
      </c>
      <c r="AI563" s="2">
        <v>0</v>
      </c>
      <c r="AJ563" s="2">
        <v>-44218</v>
      </c>
      <c r="AK563" s="2">
        <v>0</v>
      </c>
      <c r="AL563" s="2">
        <v>0</v>
      </c>
      <c r="AM563" s="2">
        <v>-2202</v>
      </c>
      <c r="AN563" s="2">
        <v>0</v>
      </c>
      <c r="AO563" s="2">
        <v>0</v>
      </c>
      <c r="AP563" s="2">
        <v>-1336</v>
      </c>
      <c r="AQ563" s="2">
        <v>0</v>
      </c>
      <c r="AR563" s="2">
        <v>0</v>
      </c>
      <c r="AS563" s="2">
        <v>-1793</v>
      </c>
      <c r="AT563" s="2">
        <v>0</v>
      </c>
      <c r="AU563" s="2">
        <v>0</v>
      </c>
      <c r="AV563" s="2">
        <v>-2967</v>
      </c>
      <c r="AW563" s="1">
        <v>559</v>
      </c>
    </row>
    <row r="564" spans="1:49" ht="12.75">
      <c r="A564" s="5">
        <v>8120</v>
      </c>
      <c r="B564" s="2" t="s">
        <v>1453</v>
      </c>
      <c r="C564" s="305">
        <v>0</v>
      </c>
      <c r="D564" s="305">
        <v>0</v>
      </c>
      <c r="E564" s="305">
        <v>0</v>
      </c>
      <c r="F564" s="305">
        <v>0</v>
      </c>
      <c r="G564" s="305">
        <v>0</v>
      </c>
      <c r="H564" s="305">
        <v>208</v>
      </c>
      <c r="I564" s="305">
        <v>0</v>
      </c>
      <c r="K564" s="3" t="s">
        <v>982</v>
      </c>
      <c r="L564" s="365"/>
      <c r="M564" s="2">
        <v>0</v>
      </c>
      <c r="N564" s="311">
        <v>810</v>
      </c>
      <c r="O564" s="310" t="s">
        <v>79</v>
      </c>
      <c r="V564" s="1">
        <v>1</v>
      </c>
      <c r="W564" s="1" t="s">
        <v>372</v>
      </c>
      <c r="X564" s="1" t="s">
        <v>1454</v>
      </c>
      <c r="Y564" s="2">
        <v>0</v>
      </c>
      <c r="Z564" s="2">
        <v>0</v>
      </c>
      <c r="AA564" s="2">
        <v>0</v>
      </c>
      <c r="AB564" s="2">
        <v>0</v>
      </c>
      <c r="AC564" s="2">
        <v>0</v>
      </c>
      <c r="AD564" s="2">
        <v>208</v>
      </c>
      <c r="AE564" s="2">
        <v>0</v>
      </c>
      <c r="AF564" s="2">
        <v>0</v>
      </c>
      <c r="AG564" s="2">
        <v>0</v>
      </c>
      <c r="AH564" s="2">
        <v>0</v>
      </c>
      <c r="AI564" s="2">
        <v>0</v>
      </c>
      <c r="AJ564" s="2">
        <v>0</v>
      </c>
      <c r="AK564" s="2">
        <v>0</v>
      </c>
      <c r="AL564" s="2">
        <v>0</v>
      </c>
      <c r="AM564" s="2">
        <v>0</v>
      </c>
      <c r="AN564" s="2">
        <v>0</v>
      </c>
      <c r="AO564" s="2">
        <v>0</v>
      </c>
      <c r="AP564" s="2">
        <v>0</v>
      </c>
      <c r="AQ564" s="2">
        <v>0</v>
      </c>
      <c r="AR564" s="2">
        <v>0</v>
      </c>
      <c r="AS564" s="2">
        <v>0</v>
      </c>
      <c r="AT564" s="2">
        <v>0</v>
      </c>
      <c r="AU564" s="2">
        <v>0</v>
      </c>
      <c r="AV564" s="2">
        <v>0</v>
      </c>
      <c r="AW564" s="1">
        <v>560</v>
      </c>
    </row>
    <row r="565" spans="1:49" ht="12.75">
      <c r="A565" s="5">
        <v>8130</v>
      </c>
      <c r="B565" s="2" t="s">
        <v>118</v>
      </c>
      <c r="C565" s="305">
        <v>102.42</v>
      </c>
      <c r="D565" s="305">
        <v>0</v>
      </c>
      <c r="E565" s="305">
        <v>0</v>
      </c>
      <c r="F565" s="305">
        <v>1880.9</v>
      </c>
      <c r="G565" s="305">
        <v>0</v>
      </c>
      <c r="H565" s="305">
        <v>10.3</v>
      </c>
      <c r="I565" s="305">
        <v>0</v>
      </c>
      <c r="K565" s="3" t="s">
        <v>982</v>
      </c>
      <c r="L565" s="365"/>
      <c r="M565" s="2">
        <v>1880.9</v>
      </c>
      <c r="N565" s="311">
        <v>810</v>
      </c>
      <c r="O565" s="310" t="s">
        <v>79</v>
      </c>
      <c r="V565" s="1">
        <v>1</v>
      </c>
      <c r="W565" s="1" t="s">
        <v>372</v>
      </c>
      <c r="X565" s="1" t="s">
        <v>1454</v>
      </c>
      <c r="Y565" s="2">
        <v>0</v>
      </c>
      <c r="Z565" s="2">
        <v>0</v>
      </c>
      <c r="AA565" s="2">
        <v>0</v>
      </c>
      <c r="AB565" s="2">
        <v>0</v>
      </c>
      <c r="AC565" s="2">
        <v>10.3</v>
      </c>
      <c r="AD565" s="2">
        <v>0</v>
      </c>
      <c r="AE565" s="2">
        <v>0</v>
      </c>
      <c r="AF565" s="2">
        <v>0</v>
      </c>
      <c r="AG565" s="2">
        <v>0</v>
      </c>
      <c r="AH565" s="2">
        <v>0</v>
      </c>
      <c r="AI565" s="2">
        <v>0</v>
      </c>
      <c r="AJ565" s="2">
        <v>0</v>
      </c>
      <c r="AK565" s="2">
        <v>0</v>
      </c>
      <c r="AL565" s="2">
        <v>0</v>
      </c>
      <c r="AM565" s="2">
        <v>704.56</v>
      </c>
      <c r="AN565" s="2">
        <v>84.42</v>
      </c>
      <c r="AO565" s="2">
        <v>0</v>
      </c>
      <c r="AP565" s="2">
        <v>0</v>
      </c>
      <c r="AQ565" s="2">
        <v>254.39</v>
      </c>
      <c r="AR565" s="2">
        <v>0</v>
      </c>
      <c r="AS565" s="2">
        <v>0</v>
      </c>
      <c r="AT565" s="2">
        <v>728.83</v>
      </c>
      <c r="AU565" s="2">
        <v>6.28</v>
      </c>
      <c r="AV565" s="2">
        <v>102.42</v>
      </c>
      <c r="AW565" s="1">
        <v>561</v>
      </c>
    </row>
    <row r="566" spans="1:49" ht="12.75">
      <c r="A566" s="5">
        <v>8300</v>
      </c>
      <c r="B566" s="2" t="s">
        <v>144</v>
      </c>
      <c r="C566" s="305">
        <v>0</v>
      </c>
      <c r="D566" s="305">
        <v>0</v>
      </c>
      <c r="E566" s="305">
        <v>310538</v>
      </c>
      <c r="F566" s="305">
        <v>0</v>
      </c>
      <c r="G566" s="305">
        <v>0</v>
      </c>
      <c r="H566" s="305">
        <v>310538</v>
      </c>
      <c r="I566" s="305">
        <v>0</v>
      </c>
      <c r="K566" s="3" t="s">
        <v>982</v>
      </c>
      <c r="L566" s="365"/>
      <c r="M566" s="2">
        <v>0</v>
      </c>
      <c r="N566" s="311">
        <v>209</v>
      </c>
      <c r="O566" s="310" t="s">
        <v>1455</v>
      </c>
      <c r="V566" s="1">
        <v>1</v>
      </c>
      <c r="W566" s="1" t="s">
        <v>1456</v>
      </c>
      <c r="X566" s="1" t="s">
        <v>1457</v>
      </c>
      <c r="Y566" s="2">
        <v>0</v>
      </c>
      <c r="Z566" s="2">
        <v>0</v>
      </c>
      <c r="AA566" s="2">
        <v>0</v>
      </c>
      <c r="AB566" s="2">
        <v>0</v>
      </c>
      <c r="AC566" s="2">
        <v>0</v>
      </c>
      <c r="AD566" s="2">
        <v>0</v>
      </c>
      <c r="AE566" s="2">
        <v>0</v>
      </c>
      <c r="AF566" s="2">
        <v>0</v>
      </c>
      <c r="AG566" s="2">
        <v>0</v>
      </c>
      <c r="AH566" s="2">
        <v>0</v>
      </c>
      <c r="AI566" s="2">
        <v>0</v>
      </c>
      <c r="AJ566" s="2">
        <v>310538</v>
      </c>
      <c r="AK566" s="2">
        <v>0</v>
      </c>
      <c r="AL566" s="2">
        <v>0</v>
      </c>
      <c r="AM566" s="2">
        <v>0</v>
      </c>
      <c r="AN566" s="2">
        <v>0</v>
      </c>
      <c r="AO566" s="2">
        <v>0</v>
      </c>
      <c r="AP566" s="2">
        <v>0</v>
      </c>
      <c r="AQ566" s="2">
        <v>0</v>
      </c>
      <c r="AR566" s="2">
        <v>0</v>
      </c>
      <c r="AS566" s="2">
        <v>0</v>
      </c>
      <c r="AT566" s="2">
        <v>0</v>
      </c>
      <c r="AU566" s="2">
        <v>0</v>
      </c>
      <c r="AV566" s="2">
        <v>0</v>
      </c>
      <c r="AW566" s="1">
        <v>562</v>
      </c>
    </row>
    <row r="567" spans="1:49" ht="12.75">
      <c r="A567" s="5">
        <v>8305</v>
      </c>
      <c r="B567" s="2" t="s">
        <v>1458</v>
      </c>
      <c r="C567" s="305">
        <v>0</v>
      </c>
      <c r="D567" s="305">
        <v>0</v>
      </c>
      <c r="E567" s="305">
        <v>2860</v>
      </c>
      <c r="F567" s="305">
        <v>0</v>
      </c>
      <c r="G567" s="305">
        <v>0</v>
      </c>
      <c r="H567" s="305">
        <v>2860</v>
      </c>
      <c r="I567" s="305">
        <v>0</v>
      </c>
      <c r="K567" s="3" t="s">
        <v>982</v>
      </c>
      <c r="L567" s="365"/>
      <c r="M567" s="2">
        <v>0</v>
      </c>
      <c r="N567" s="311">
        <v>209</v>
      </c>
      <c r="O567" s="310" t="s">
        <v>1455</v>
      </c>
      <c r="V567" s="1">
        <v>1</v>
      </c>
      <c r="W567" s="1" t="s">
        <v>1456</v>
      </c>
      <c r="X567" s="1" t="s">
        <v>1457</v>
      </c>
      <c r="Y567" s="2">
        <v>0</v>
      </c>
      <c r="Z567" s="2">
        <v>0</v>
      </c>
      <c r="AA567" s="2">
        <v>0</v>
      </c>
      <c r="AB567" s="2">
        <v>0</v>
      </c>
      <c r="AC567" s="2">
        <v>0</v>
      </c>
      <c r="AD567" s="2">
        <v>0</v>
      </c>
      <c r="AE567" s="2">
        <v>0</v>
      </c>
      <c r="AF567" s="2">
        <v>0</v>
      </c>
      <c r="AG567" s="2">
        <v>0</v>
      </c>
      <c r="AH567" s="2">
        <v>0</v>
      </c>
      <c r="AI567" s="2">
        <v>0</v>
      </c>
      <c r="AJ567" s="2">
        <v>2860</v>
      </c>
      <c r="AK567" s="2">
        <v>0</v>
      </c>
      <c r="AL567" s="2">
        <v>0</v>
      </c>
      <c r="AM567" s="2">
        <v>0</v>
      </c>
      <c r="AN567" s="2">
        <v>0</v>
      </c>
      <c r="AO567" s="2">
        <v>0</v>
      </c>
      <c r="AP567" s="2">
        <v>0</v>
      </c>
      <c r="AQ567" s="2">
        <v>0</v>
      </c>
      <c r="AR567" s="2">
        <v>0</v>
      </c>
      <c r="AS567" s="2">
        <v>0</v>
      </c>
      <c r="AT567" s="2">
        <v>0</v>
      </c>
      <c r="AU567" s="2">
        <v>0</v>
      </c>
      <c r="AV567" s="2">
        <v>0</v>
      </c>
      <c r="AW567" s="1">
        <v>563</v>
      </c>
    </row>
    <row r="568" spans="1:49" ht="12.75">
      <c r="A568" s="5">
        <v>8935</v>
      </c>
      <c r="B568" s="2" t="s">
        <v>1459</v>
      </c>
      <c r="C568" s="305">
        <v>0</v>
      </c>
      <c r="D568" s="305">
        <v>0</v>
      </c>
      <c r="E568" s="305">
        <v>1510140</v>
      </c>
      <c r="F568" s="305">
        <v>0</v>
      </c>
      <c r="G568" s="305">
        <v>0</v>
      </c>
      <c r="H568" s="305">
        <v>1510140</v>
      </c>
      <c r="I568" s="305">
        <v>0</v>
      </c>
      <c r="K568" s="3" t="s">
        <v>982</v>
      </c>
      <c r="L568" s="365"/>
      <c r="M568" s="2">
        <v>0</v>
      </c>
      <c r="N568" s="311">
        <v>209</v>
      </c>
      <c r="O568" s="310" t="s">
        <v>1455</v>
      </c>
      <c r="V568" s="1">
        <v>1</v>
      </c>
      <c r="W568" s="1" t="s">
        <v>1460</v>
      </c>
      <c r="X568" s="1" t="s">
        <v>1457</v>
      </c>
      <c r="Y568" s="2">
        <v>0</v>
      </c>
      <c r="Z568" s="2">
        <v>0</v>
      </c>
      <c r="AA568" s="2">
        <v>0</v>
      </c>
      <c r="AB568" s="2">
        <v>0</v>
      </c>
      <c r="AC568" s="2">
        <v>0</v>
      </c>
      <c r="AD568" s="2">
        <v>0</v>
      </c>
      <c r="AE568" s="2">
        <v>0</v>
      </c>
      <c r="AF568" s="2">
        <v>0</v>
      </c>
      <c r="AG568" s="2">
        <v>0</v>
      </c>
      <c r="AH568" s="2">
        <v>0</v>
      </c>
      <c r="AI568" s="2">
        <v>0</v>
      </c>
      <c r="AJ568" s="2">
        <v>1510140</v>
      </c>
      <c r="AK568" s="2">
        <v>0</v>
      </c>
      <c r="AL568" s="2">
        <v>0</v>
      </c>
      <c r="AM568" s="2">
        <v>0</v>
      </c>
      <c r="AN568" s="2">
        <v>0</v>
      </c>
      <c r="AO568" s="2">
        <v>0</v>
      </c>
      <c r="AP568" s="2">
        <v>0</v>
      </c>
      <c r="AQ568" s="2">
        <v>0</v>
      </c>
      <c r="AR568" s="2">
        <v>0</v>
      </c>
      <c r="AS568" s="2">
        <v>0</v>
      </c>
      <c r="AT568" s="2">
        <v>0</v>
      </c>
      <c r="AU568" s="2">
        <v>0</v>
      </c>
      <c r="AV568" s="2">
        <v>0</v>
      </c>
      <c r="AW568" s="1">
        <v>564</v>
      </c>
    </row>
    <row r="569" spans="1:49" ht="12.75">
      <c r="A569" s="5">
        <v>8960</v>
      </c>
      <c r="B569" s="2" t="s">
        <v>1461</v>
      </c>
      <c r="C569" s="305">
        <v>0</v>
      </c>
      <c r="D569" s="305">
        <v>0</v>
      </c>
      <c r="E569" s="305">
        <v>-400855.18</v>
      </c>
      <c r="F569" s="305">
        <v>0</v>
      </c>
      <c r="G569" s="305">
        <v>0</v>
      </c>
      <c r="H569" s="305">
        <v>-400855.18</v>
      </c>
      <c r="I569" s="305">
        <v>0</v>
      </c>
      <c r="K569" s="3" t="s">
        <v>982</v>
      </c>
      <c r="L569" s="365"/>
      <c r="M569" s="2">
        <v>0</v>
      </c>
      <c r="N569" s="311">
        <v>209</v>
      </c>
      <c r="O569" s="310" t="s">
        <v>1455</v>
      </c>
      <c r="V569" s="1">
        <v>1</v>
      </c>
      <c r="W569" s="1" t="s">
        <v>1462</v>
      </c>
      <c r="X569" s="1" t="s">
        <v>1457</v>
      </c>
      <c r="Y569" s="2">
        <v>0</v>
      </c>
      <c r="Z569" s="2">
        <v>0</v>
      </c>
      <c r="AA569" s="2">
        <v>0</v>
      </c>
      <c r="AB569" s="2">
        <v>0</v>
      </c>
      <c r="AC569" s="2">
        <v>0</v>
      </c>
      <c r="AD569" s="2">
        <v>0</v>
      </c>
      <c r="AE569" s="2">
        <v>0</v>
      </c>
      <c r="AF569" s="2">
        <v>0</v>
      </c>
      <c r="AG569" s="2">
        <v>0</v>
      </c>
      <c r="AH569" s="2">
        <v>0</v>
      </c>
      <c r="AI569" s="2">
        <v>0</v>
      </c>
      <c r="AJ569" s="2">
        <v>-400855.18</v>
      </c>
      <c r="AK569" s="2">
        <v>0</v>
      </c>
      <c r="AL569" s="2">
        <v>0</v>
      </c>
      <c r="AM569" s="2">
        <v>0</v>
      </c>
      <c r="AN569" s="2">
        <v>0</v>
      </c>
      <c r="AO569" s="2">
        <v>0</v>
      </c>
      <c r="AP569" s="2">
        <v>0</v>
      </c>
      <c r="AQ569" s="2">
        <v>0</v>
      </c>
      <c r="AR569" s="2">
        <v>0</v>
      </c>
      <c r="AS569" s="2">
        <v>0</v>
      </c>
      <c r="AT569" s="2">
        <v>0</v>
      </c>
      <c r="AU569" s="2">
        <v>0</v>
      </c>
      <c r="AV569" s="2">
        <v>0</v>
      </c>
      <c r="AW569" s="1">
        <v>565</v>
      </c>
    </row>
    <row r="570" spans="1:49" ht="12.75">
      <c r="A570" s="5">
        <v>9920</v>
      </c>
      <c r="B570" s="2" t="s">
        <v>1463</v>
      </c>
      <c r="C570" s="305">
        <v>0</v>
      </c>
      <c r="D570" s="305">
        <v>0</v>
      </c>
      <c r="E570" s="305">
        <v>0</v>
      </c>
      <c r="F570" s="305">
        <v>0</v>
      </c>
      <c r="G570" s="305">
        <v>0</v>
      </c>
      <c r="H570" s="305">
        <v>436</v>
      </c>
      <c r="I570" s="305">
        <v>0</v>
      </c>
      <c r="J570" s="1" t="s">
        <v>826</v>
      </c>
      <c r="K570" s="3" t="s">
        <v>982</v>
      </c>
      <c r="L570" s="365"/>
      <c r="M570" s="2">
        <v>0</v>
      </c>
      <c r="N570" s="311">
        <v>920</v>
      </c>
      <c r="O570" s="310" t="s">
        <v>507</v>
      </c>
      <c r="P570" s="309">
        <v>40</v>
      </c>
      <c r="Q570" s="60" t="s">
        <v>456</v>
      </c>
      <c r="R570" s="309">
        <v>5012</v>
      </c>
      <c r="S570" s="60" t="s">
        <v>212</v>
      </c>
      <c r="T570" s="61">
        <v>211</v>
      </c>
      <c r="U570" s="60" t="s">
        <v>506</v>
      </c>
      <c r="V570" s="1">
        <v>3</v>
      </c>
      <c r="W570" s="1" t="s">
        <v>1464</v>
      </c>
      <c r="X570" s="1" t="s">
        <v>1465</v>
      </c>
      <c r="Y570" s="2">
        <v>0</v>
      </c>
      <c r="Z570" s="2">
        <v>0</v>
      </c>
      <c r="AA570" s="2">
        <v>0</v>
      </c>
      <c r="AB570" s="2">
        <v>0</v>
      </c>
      <c r="AC570" s="2">
        <v>0</v>
      </c>
      <c r="AD570" s="2">
        <v>0</v>
      </c>
      <c r="AE570" s="2">
        <v>0</v>
      </c>
      <c r="AF570" s="2">
        <v>152</v>
      </c>
      <c r="AG570" s="2">
        <v>284</v>
      </c>
      <c r="AH570" s="2">
        <v>0</v>
      </c>
      <c r="AI570" s="2">
        <v>0</v>
      </c>
      <c r="AJ570" s="2">
        <v>0</v>
      </c>
      <c r="AK570" s="2">
        <v>0</v>
      </c>
      <c r="AL570" s="2">
        <v>0</v>
      </c>
      <c r="AM570" s="2">
        <v>0</v>
      </c>
      <c r="AN570" s="2">
        <v>0</v>
      </c>
      <c r="AO570" s="2">
        <v>0</v>
      </c>
      <c r="AP570" s="2">
        <v>0</v>
      </c>
      <c r="AQ570" s="2">
        <v>0</v>
      </c>
      <c r="AR570" s="2">
        <v>0</v>
      </c>
      <c r="AS570" s="2">
        <v>0</v>
      </c>
      <c r="AT570" s="2">
        <v>0</v>
      </c>
      <c r="AU570" s="2">
        <v>0</v>
      </c>
      <c r="AV570" s="2">
        <v>0</v>
      </c>
      <c r="AW570" s="1">
        <v>566</v>
      </c>
    </row>
    <row r="571" spans="1:49" ht="12.75">
      <c r="A571" s="5">
        <v>9920</v>
      </c>
      <c r="B571" s="2" t="s">
        <v>1466</v>
      </c>
      <c r="C571" s="305">
        <v>0</v>
      </c>
      <c r="D571" s="305">
        <v>0</v>
      </c>
      <c r="E571" s="305">
        <v>0</v>
      </c>
      <c r="F571" s="305">
        <v>0</v>
      </c>
      <c r="G571" s="305">
        <v>0</v>
      </c>
      <c r="H571" s="305">
        <v>510</v>
      </c>
      <c r="I571" s="305">
        <v>0</v>
      </c>
      <c r="J571" s="1" t="s">
        <v>673</v>
      </c>
      <c r="K571" s="3" t="s">
        <v>982</v>
      </c>
      <c r="L571" s="365"/>
      <c r="M571" s="2">
        <v>0</v>
      </c>
      <c r="N571" s="311">
        <v>920</v>
      </c>
      <c r="O571" s="310" t="s">
        <v>507</v>
      </c>
      <c r="P571" s="309">
        <v>40</v>
      </c>
      <c r="Q571" s="60" t="s">
        <v>456</v>
      </c>
      <c r="R571" s="309">
        <v>5011</v>
      </c>
      <c r="S571" s="60" t="s">
        <v>209</v>
      </c>
      <c r="T571" s="61">
        <v>210</v>
      </c>
      <c r="U571" s="60" t="s">
        <v>500</v>
      </c>
      <c r="V571" s="1">
        <v>3</v>
      </c>
      <c r="W571" s="1" t="s">
        <v>1464</v>
      </c>
      <c r="X571" s="1" t="s">
        <v>1467</v>
      </c>
      <c r="Y571" s="2">
        <v>0</v>
      </c>
      <c r="Z571" s="2">
        <v>0</v>
      </c>
      <c r="AA571" s="2">
        <v>0</v>
      </c>
      <c r="AB571" s="2">
        <v>0</v>
      </c>
      <c r="AC571" s="2">
        <v>0</v>
      </c>
      <c r="AD571" s="2">
        <v>0</v>
      </c>
      <c r="AE571" s="2">
        <v>0</v>
      </c>
      <c r="AF571" s="2">
        <v>183</v>
      </c>
      <c r="AG571" s="2">
        <v>327</v>
      </c>
      <c r="AH571" s="2">
        <v>0</v>
      </c>
      <c r="AI571" s="2">
        <v>0</v>
      </c>
      <c r="AJ571" s="2">
        <v>0</v>
      </c>
      <c r="AK571" s="2">
        <v>0</v>
      </c>
      <c r="AL571" s="2">
        <v>0</v>
      </c>
      <c r="AM571" s="2">
        <v>0</v>
      </c>
      <c r="AN571" s="2">
        <v>0</v>
      </c>
      <c r="AO571" s="2">
        <v>0</v>
      </c>
      <c r="AP571" s="2">
        <v>0</v>
      </c>
      <c r="AQ571" s="2">
        <v>0</v>
      </c>
      <c r="AR571" s="2">
        <v>0</v>
      </c>
      <c r="AS571" s="2">
        <v>0</v>
      </c>
      <c r="AT571" s="2">
        <v>0</v>
      </c>
      <c r="AU571" s="2">
        <v>0</v>
      </c>
      <c r="AV571" s="2">
        <v>0</v>
      </c>
      <c r="AW571" s="1">
        <v>567</v>
      </c>
    </row>
    <row r="572" spans="1:49" ht="12.75">
      <c r="A572" s="5">
        <v>9920</v>
      </c>
      <c r="B572" s="2" t="s">
        <v>1468</v>
      </c>
      <c r="C572" s="305">
        <v>0</v>
      </c>
      <c r="D572" s="305">
        <v>0</v>
      </c>
      <c r="E572" s="305">
        <v>0</v>
      </c>
      <c r="F572" s="305">
        <v>0</v>
      </c>
      <c r="G572" s="305">
        <v>0</v>
      </c>
      <c r="H572" s="305">
        <v>10131.9</v>
      </c>
      <c r="I572" s="305">
        <v>0</v>
      </c>
      <c r="J572" s="1" t="s">
        <v>676</v>
      </c>
      <c r="K572" s="3" t="s">
        <v>982</v>
      </c>
      <c r="L572" s="365"/>
      <c r="M572" s="2">
        <v>0</v>
      </c>
      <c r="N572" s="311">
        <v>920</v>
      </c>
      <c r="O572" s="310" t="s">
        <v>507</v>
      </c>
      <c r="P572" s="309">
        <v>40</v>
      </c>
      <c r="Q572" s="60" t="s">
        <v>456</v>
      </c>
      <c r="R572" s="309">
        <v>5021</v>
      </c>
      <c r="S572" s="60" t="s">
        <v>201</v>
      </c>
      <c r="T572" s="61">
        <v>120</v>
      </c>
      <c r="U572" s="60" t="s">
        <v>382</v>
      </c>
      <c r="V572" s="1">
        <v>3</v>
      </c>
      <c r="W572" s="1" t="s">
        <v>1464</v>
      </c>
      <c r="X572" s="1" t="s">
        <v>1469</v>
      </c>
      <c r="Y572" s="2">
        <v>0</v>
      </c>
      <c r="Z572" s="2">
        <v>0</v>
      </c>
      <c r="AA572" s="2">
        <v>0</v>
      </c>
      <c r="AB572" s="2">
        <v>0</v>
      </c>
      <c r="AC572" s="2">
        <v>0</v>
      </c>
      <c r="AD572" s="2">
        <v>0</v>
      </c>
      <c r="AE572" s="2">
        <v>0</v>
      </c>
      <c r="AF572" s="2">
        <v>3289</v>
      </c>
      <c r="AG572" s="2">
        <v>6842.9</v>
      </c>
      <c r="AH572" s="2">
        <v>0</v>
      </c>
      <c r="AI572" s="2">
        <v>0</v>
      </c>
      <c r="AJ572" s="2">
        <v>0</v>
      </c>
      <c r="AK572" s="2">
        <v>0</v>
      </c>
      <c r="AL572" s="2">
        <v>0</v>
      </c>
      <c r="AM572" s="2">
        <v>0</v>
      </c>
      <c r="AN572" s="2">
        <v>0</v>
      </c>
      <c r="AO572" s="2">
        <v>0</v>
      </c>
      <c r="AP572" s="2">
        <v>0</v>
      </c>
      <c r="AQ572" s="2">
        <v>0</v>
      </c>
      <c r="AR572" s="2">
        <v>0</v>
      </c>
      <c r="AS572" s="2">
        <v>0</v>
      </c>
      <c r="AT572" s="2">
        <v>0</v>
      </c>
      <c r="AU572" s="2">
        <v>0</v>
      </c>
      <c r="AV572" s="2">
        <v>0</v>
      </c>
      <c r="AW572" s="1">
        <v>568</v>
      </c>
    </row>
    <row r="573" spans="1:49" ht="12.75">
      <c r="A573" s="5">
        <v>9920</v>
      </c>
      <c r="B573" s="2" t="s">
        <v>1470</v>
      </c>
      <c r="C573" s="305">
        <v>759</v>
      </c>
      <c r="D573" s="305">
        <v>0</v>
      </c>
      <c r="E573" s="305">
        <v>1015</v>
      </c>
      <c r="F573" s="305">
        <v>27123</v>
      </c>
      <c r="G573" s="305">
        <v>0</v>
      </c>
      <c r="H573" s="305">
        <v>4683</v>
      </c>
      <c r="I573" s="305">
        <v>0</v>
      </c>
      <c r="J573" s="1" t="s">
        <v>678</v>
      </c>
      <c r="K573" s="3" t="s">
        <v>982</v>
      </c>
      <c r="L573" s="365"/>
      <c r="M573" s="2">
        <v>27123</v>
      </c>
      <c r="N573" s="311">
        <v>920</v>
      </c>
      <c r="O573" s="310" t="s">
        <v>507</v>
      </c>
      <c r="P573" s="309">
        <v>40</v>
      </c>
      <c r="Q573" s="60" t="s">
        <v>456</v>
      </c>
      <c r="R573" s="309">
        <v>5019</v>
      </c>
      <c r="S573" s="60" t="s">
        <v>679</v>
      </c>
      <c r="T573" s="61">
        <v>120</v>
      </c>
      <c r="U573" s="60" t="s">
        <v>382</v>
      </c>
      <c r="V573" s="1">
        <v>3</v>
      </c>
      <c r="W573" s="1" t="s">
        <v>1464</v>
      </c>
      <c r="X573" s="1" t="s">
        <v>1471</v>
      </c>
      <c r="Y573" s="2">
        <v>0</v>
      </c>
      <c r="Z573" s="2">
        <v>0</v>
      </c>
      <c r="AA573" s="2">
        <v>0</v>
      </c>
      <c r="AB573" s="2">
        <v>0</v>
      </c>
      <c r="AC573" s="2">
        <v>0</v>
      </c>
      <c r="AD573" s="2">
        <v>0</v>
      </c>
      <c r="AE573" s="2">
        <v>0</v>
      </c>
      <c r="AF573" s="2">
        <v>0</v>
      </c>
      <c r="AG573" s="2">
        <v>0</v>
      </c>
      <c r="AH573" s="2">
        <v>2157</v>
      </c>
      <c r="AI573" s="2">
        <v>1511</v>
      </c>
      <c r="AJ573" s="2">
        <v>1015</v>
      </c>
      <c r="AK573" s="2">
        <v>2388</v>
      </c>
      <c r="AL573" s="2">
        <v>2327</v>
      </c>
      <c r="AM573" s="2">
        <v>1691</v>
      </c>
      <c r="AN573" s="2">
        <v>1355</v>
      </c>
      <c r="AO573" s="2">
        <v>3998</v>
      </c>
      <c r="AP573" s="2">
        <v>4398</v>
      </c>
      <c r="AQ573" s="2">
        <v>3936</v>
      </c>
      <c r="AR573" s="2">
        <v>2840</v>
      </c>
      <c r="AS573" s="2">
        <v>1149</v>
      </c>
      <c r="AT573" s="2">
        <v>1303</v>
      </c>
      <c r="AU573" s="2">
        <v>979</v>
      </c>
      <c r="AV573" s="2">
        <v>759</v>
      </c>
      <c r="AW573" s="1">
        <v>569</v>
      </c>
    </row>
    <row r="574" spans="1:49" ht="12.75">
      <c r="A574" s="5">
        <v>9920</v>
      </c>
      <c r="B574" s="2" t="s">
        <v>1472</v>
      </c>
      <c r="C574" s="305">
        <v>1212.5</v>
      </c>
      <c r="D574" s="305">
        <v>0</v>
      </c>
      <c r="E574" s="305">
        <v>1274</v>
      </c>
      <c r="F574" s="305">
        <v>15232.9</v>
      </c>
      <c r="G574" s="305">
        <v>0</v>
      </c>
      <c r="H574" s="305">
        <v>4036</v>
      </c>
      <c r="I574" s="305">
        <v>0</v>
      </c>
      <c r="J574" s="1" t="s">
        <v>681</v>
      </c>
      <c r="K574" s="3" t="s">
        <v>982</v>
      </c>
      <c r="L574" s="365"/>
      <c r="M574" s="2">
        <v>15232.9</v>
      </c>
      <c r="N574" s="311">
        <v>920</v>
      </c>
      <c r="O574" s="310" t="s">
        <v>507</v>
      </c>
      <c r="P574" s="309">
        <v>40</v>
      </c>
      <c r="Q574" s="60" t="s">
        <v>456</v>
      </c>
      <c r="R574" s="309">
        <v>5019</v>
      </c>
      <c r="S574" s="60" t="s">
        <v>679</v>
      </c>
      <c r="T574" s="61">
        <v>120</v>
      </c>
      <c r="U574" s="60" t="s">
        <v>382</v>
      </c>
      <c r="V574" s="1">
        <v>3</v>
      </c>
      <c r="W574" s="1" t="s">
        <v>1464</v>
      </c>
      <c r="X574" s="1" t="s">
        <v>1471</v>
      </c>
      <c r="Y574" s="2">
        <v>0</v>
      </c>
      <c r="Z574" s="2">
        <v>0</v>
      </c>
      <c r="AA574" s="2">
        <v>0</v>
      </c>
      <c r="AB574" s="2">
        <v>0</v>
      </c>
      <c r="AC574" s="2">
        <v>0</v>
      </c>
      <c r="AD574" s="2">
        <v>0</v>
      </c>
      <c r="AE574" s="2">
        <v>0</v>
      </c>
      <c r="AF574" s="2">
        <v>0</v>
      </c>
      <c r="AG574" s="2">
        <v>0</v>
      </c>
      <c r="AH574" s="2">
        <v>1478</v>
      </c>
      <c r="AI574" s="2">
        <v>1284</v>
      </c>
      <c r="AJ574" s="2">
        <v>1274</v>
      </c>
      <c r="AK574" s="2">
        <v>1060.1</v>
      </c>
      <c r="AL574" s="2">
        <v>1051</v>
      </c>
      <c r="AM574" s="2">
        <v>1313</v>
      </c>
      <c r="AN574" s="2">
        <v>1473.4</v>
      </c>
      <c r="AO574" s="2">
        <v>1611</v>
      </c>
      <c r="AP574" s="2">
        <v>1441</v>
      </c>
      <c r="AQ574" s="2">
        <v>1277.8</v>
      </c>
      <c r="AR574" s="2">
        <v>1166</v>
      </c>
      <c r="AS574" s="2">
        <v>1237</v>
      </c>
      <c r="AT574" s="2">
        <v>1195.1</v>
      </c>
      <c r="AU574" s="2">
        <v>1195</v>
      </c>
      <c r="AV574" s="2">
        <v>1212.5</v>
      </c>
      <c r="AW574" s="1">
        <v>570</v>
      </c>
    </row>
    <row r="575" spans="1:49" ht="12.75">
      <c r="A575" s="5">
        <v>9920</v>
      </c>
      <c r="B575" s="2" t="s">
        <v>1473</v>
      </c>
      <c r="C575" s="305">
        <v>556</v>
      </c>
      <c r="D575" s="305">
        <v>0</v>
      </c>
      <c r="E575" s="305">
        <v>506</v>
      </c>
      <c r="F575" s="305">
        <v>5763</v>
      </c>
      <c r="G575" s="305">
        <v>0</v>
      </c>
      <c r="H575" s="305">
        <v>1228</v>
      </c>
      <c r="I575" s="305">
        <v>0</v>
      </c>
      <c r="J575" s="1" t="s">
        <v>683</v>
      </c>
      <c r="K575" s="3" t="s">
        <v>982</v>
      </c>
      <c r="L575" s="365"/>
      <c r="M575" s="2">
        <v>5763</v>
      </c>
      <c r="N575" s="311">
        <v>920</v>
      </c>
      <c r="O575" s="310" t="s">
        <v>507</v>
      </c>
      <c r="P575" s="309">
        <v>40</v>
      </c>
      <c r="Q575" s="60" t="s">
        <v>456</v>
      </c>
      <c r="R575" s="309">
        <v>5019</v>
      </c>
      <c r="S575" s="60" t="s">
        <v>679</v>
      </c>
      <c r="T575" s="61">
        <v>120</v>
      </c>
      <c r="U575" s="60" t="s">
        <v>382</v>
      </c>
      <c r="V575" s="1">
        <v>3</v>
      </c>
      <c r="W575" s="1" t="s">
        <v>1464</v>
      </c>
      <c r="X575" s="1" t="s">
        <v>1471</v>
      </c>
      <c r="Y575" s="2">
        <v>0</v>
      </c>
      <c r="Z575" s="2">
        <v>0</v>
      </c>
      <c r="AA575" s="2">
        <v>0</v>
      </c>
      <c r="AB575" s="2">
        <v>0</v>
      </c>
      <c r="AC575" s="2">
        <v>0</v>
      </c>
      <c r="AD575" s="2">
        <v>0</v>
      </c>
      <c r="AE575" s="2">
        <v>0</v>
      </c>
      <c r="AF575" s="2">
        <v>0</v>
      </c>
      <c r="AG575" s="2">
        <v>0</v>
      </c>
      <c r="AH575" s="2">
        <v>376</v>
      </c>
      <c r="AI575" s="2">
        <v>346</v>
      </c>
      <c r="AJ575" s="2">
        <v>506</v>
      </c>
      <c r="AK575" s="2">
        <v>375</v>
      </c>
      <c r="AL575" s="2">
        <v>352</v>
      </c>
      <c r="AM575" s="2">
        <v>380</v>
      </c>
      <c r="AN575" s="2">
        <v>415</v>
      </c>
      <c r="AO575" s="2">
        <v>544</v>
      </c>
      <c r="AP575" s="2">
        <v>486</v>
      </c>
      <c r="AQ575" s="2">
        <v>367</v>
      </c>
      <c r="AR575" s="2">
        <v>560</v>
      </c>
      <c r="AS575" s="2">
        <v>628</v>
      </c>
      <c r="AT575" s="2">
        <v>538</v>
      </c>
      <c r="AU575" s="2">
        <v>562</v>
      </c>
      <c r="AV575" s="2">
        <v>556</v>
      </c>
      <c r="AW575" s="1">
        <v>571</v>
      </c>
    </row>
    <row r="576" spans="1:49" ht="12.75">
      <c r="A576" s="5">
        <v>9920</v>
      </c>
      <c r="B576" s="2" t="s">
        <v>1474</v>
      </c>
      <c r="C576" s="305">
        <v>19</v>
      </c>
      <c r="D576" s="305">
        <v>0</v>
      </c>
      <c r="E576" s="305">
        <v>12</v>
      </c>
      <c r="F576" s="305">
        <v>104</v>
      </c>
      <c r="G576" s="305">
        <v>0</v>
      </c>
      <c r="H576" s="305">
        <v>21</v>
      </c>
      <c r="I576" s="305">
        <v>0</v>
      </c>
      <c r="J576" s="1" t="s">
        <v>685</v>
      </c>
      <c r="K576" s="3" t="s">
        <v>982</v>
      </c>
      <c r="L576" s="365"/>
      <c r="M576" s="2">
        <v>104</v>
      </c>
      <c r="N576" s="311">
        <v>920</v>
      </c>
      <c r="O576" s="310" t="s">
        <v>507</v>
      </c>
      <c r="P576" s="309">
        <v>40</v>
      </c>
      <c r="Q576" s="60" t="s">
        <v>456</v>
      </c>
      <c r="R576" s="309">
        <v>5019</v>
      </c>
      <c r="S576" s="60" t="s">
        <v>679</v>
      </c>
      <c r="T576" s="61">
        <v>120</v>
      </c>
      <c r="U576" s="60" t="s">
        <v>382</v>
      </c>
      <c r="V576" s="1">
        <v>3</v>
      </c>
      <c r="W576" s="1" t="s">
        <v>1464</v>
      </c>
      <c r="X576" s="1" t="s">
        <v>1471</v>
      </c>
      <c r="Y576" s="2">
        <v>0</v>
      </c>
      <c r="Z576" s="2">
        <v>0</v>
      </c>
      <c r="AA576" s="2">
        <v>0</v>
      </c>
      <c r="AB576" s="2">
        <v>0</v>
      </c>
      <c r="AC576" s="2">
        <v>0</v>
      </c>
      <c r="AD576" s="2">
        <v>0</v>
      </c>
      <c r="AE576" s="2">
        <v>0</v>
      </c>
      <c r="AF576" s="2">
        <v>0</v>
      </c>
      <c r="AG576" s="2">
        <v>0</v>
      </c>
      <c r="AH576" s="2">
        <v>3</v>
      </c>
      <c r="AI576" s="2">
        <v>6</v>
      </c>
      <c r="AJ576" s="2">
        <v>12</v>
      </c>
      <c r="AK576" s="2">
        <v>8</v>
      </c>
      <c r="AL576" s="2">
        <v>1</v>
      </c>
      <c r="AM576" s="2">
        <v>6</v>
      </c>
      <c r="AN576" s="2">
        <v>10</v>
      </c>
      <c r="AO576" s="2">
        <v>12</v>
      </c>
      <c r="AP576" s="2">
        <v>10</v>
      </c>
      <c r="AQ576" s="2">
        <v>7</v>
      </c>
      <c r="AR576" s="2">
        <v>13</v>
      </c>
      <c r="AS576" s="2">
        <v>9</v>
      </c>
      <c r="AT576" s="2">
        <v>1</v>
      </c>
      <c r="AU576" s="2">
        <v>8</v>
      </c>
      <c r="AV576" s="2">
        <v>19</v>
      </c>
      <c r="AW576" s="1">
        <v>572</v>
      </c>
    </row>
    <row r="577" spans="1:49" ht="12.75">
      <c r="A577" s="5">
        <v>9920</v>
      </c>
      <c r="B577" s="2" t="s">
        <v>1475</v>
      </c>
      <c r="C577" s="305">
        <v>51</v>
      </c>
      <c r="D577" s="305">
        <v>0</v>
      </c>
      <c r="E577" s="305">
        <v>33</v>
      </c>
      <c r="F577" s="305">
        <v>554</v>
      </c>
      <c r="G577" s="305">
        <v>0</v>
      </c>
      <c r="H577" s="305">
        <v>110</v>
      </c>
      <c r="I577" s="305">
        <v>0</v>
      </c>
      <c r="J577" s="1" t="s">
        <v>687</v>
      </c>
      <c r="K577" s="3" t="s">
        <v>982</v>
      </c>
      <c r="L577" s="365"/>
      <c r="M577" s="2">
        <v>554</v>
      </c>
      <c r="N577" s="311">
        <v>920</v>
      </c>
      <c r="O577" s="310" t="s">
        <v>507</v>
      </c>
      <c r="P577" s="309">
        <v>40</v>
      </c>
      <c r="Q577" s="60" t="s">
        <v>456</v>
      </c>
      <c r="R577" s="309">
        <v>5019</v>
      </c>
      <c r="S577" s="60" t="s">
        <v>679</v>
      </c>
      <c r="T577" s="61">
        <v>120</v>
      </c>
      <c r="U577" s="60" t="s">
        <v>382</v>
      </c>
      <c r="V577" s="1">
        <v>3</v>
      </c>
      <c r="W577" s="1" t="s">
        <v>1464</v>
      </c>
      <c r="X577" s="1" t="s">
        <v>1471</v>
      </c>
      <c r="Y577" s="2">
        <v>0</v>
      </c>
      <c r="Z577" s="2">
        <v>0</v>
      </c>
      <c r="AA577" s="2">
        <v>0</v>
      </c>
      <c r="AB577" s="2">
        <v>0</v>
      </c>
      <c r="AC577" s="2">
        <v>0</v>
      </c>
      <c r="AD577" s="2">
        <v>0</v>
      </c>
      <c r="AE577" s="2">
        <v>0</v>
      </c>
      <c r="AF577" s="2">
        <v>0</v>
      </c>
      <c r="AG577" s="2">
        <v>0</v>
      </c>
      <c r="AH577" s="2">
        <v>41</v>
      </c>
      <c r="AI577" s="2">
        <v>36</v>
      </c>
      <c r="AJ577" s="2">
        <v>33</v>
      </c>
      <c r="AK577" s="2">
        <v>31</v>
      </c>
      <c r="AL577" s="2">
        <v>22</v>
      </c>
      <c r="AM577" s="2">
        <v>42</v>
      </c>
      <c r="AN577" s="2">
        <v>42</v>
      </c>
      <c r="AO577" s="2">
        <v>47</v>
      </c>
      <c r="AP577" s="2">
        <v>54</v>
      </c>
      <c r="AQ577" s="2">
        <v>53</v>
      </c>
      <c r="AR577" s="2">
        <v>51</v>
      </c>
      <c r="AS577" s="2">
        <v>63</v>
      </c>
      <c r="AT577" s="2">
        <v>57</v>
      </c>
      <c r="AU577" s="2">
        <v>41</v>
      </c>
      <c r="AV577" s="2">
        <v>51</v>
      </c>
      <c r="AW577" s="1">
        <v>573</v>
      </c>
    </row>
    <row r="578" spans="1:49" ht="12.75">
      <c r="A578" s="5">
        <v>9920</v>
      </c>
      <c r="B578" s="2" t="s">
        <v>1476</v>
      </c>
      <c r="C578" s="305">
        <v>843</v>
      </c>
      <c r="D578" s="305">
        <v>0</v>
      </c>
      <c r="E578" s="305">
        <v>1055</v>
      </c>
      <c r="F578" s="305">
        <v>13721</v>
      </c>
      <c r="G578" s="305">
        <v>0</v>
      </c>
      <c r="H578" s="305">
        <v>3607</v>
      </c>
      <c r="I578" s="305">
        <v>0</v>
      </c>
      <c r="J578" s="1" t="s">
        <v>689</v>
      </c>
      <c r="K578" s="3" t="s">
        <v>982</v>
      </c>
      <c r="L578" s="365"/>
      <c r="M578" s="2">
        <v>13721</v>
      </c>
      <c r="N578" s="311">
        <v>920</v>
      </c>
      <c r="O578" s="310" t="s">
        <v>507</v>
      </c>
      <c r="P578" s="309">
        <v>40</v>
      </c>
      <c r="Q578" s="60" t="s">
        <v>456</v>
      </c>
      <c r="R578" s="309">
        <v>5019</v>
      </c>
      <c r="S578" s="60" t="s">
        <v>679</v>
      </c>
      <c r="T578" s="61">
        <v>120</v>
      </c>
      <c r="U578" s="60" t="s">
        <v>382</v>
      </c>
      <c r="V578" s="1">
        <v>3</v>
      </c>
      <c r="W578" s="1" t="s">
        <v>1464</v>
      </c>
      <c r="X578" s="1" t="s">
        <v>1471</v>
      </c>
      <c r="Y578" s="2">
        <v>0</v>
      </c>
      <c r="Z578" s="2">
        <v>0</v>
      </c>
      <c r="AA578" s="2">
        <v>0</v>
      </c>
      <c r="AB578" s="2">
        <v>0</v>
      </c>
      <c r="AC578" s="2">
        <v>0</v>
      </c>
      <c r="AD578" s="2">
        <v>0</v>
      </c>
      <c r="AE578" s="2">
        <v>0</v>
      </c>
      <c r="AF578" s="2">
        <v>0</v>
      </c>
      <c r="AG578" s="2">
        <v>0</v>
      </c>
      <c r="AH578" s="2">
        <v>1356</v>
      </c>
      <c r="AI578" s="2">
        <v>1196</v>
      </c>
      <c r="AJ578" s="2">
        <v>1055</v>
      </c>
      <c r="AK578" s="2">
        <v>1102</v>
      </c>
      <c r="AL578" s="2">
        <v>988</v>
      </c>
      <c r="AM578" s="2">
        <v>1276</v>
      </c>
      <c r="AN578" s="2">
        <v>1264</v>
      </c>
      <c r="AO578" s="2">
        <v>1214</v>
      </c>
      <c r="AP578" s="2">
        <v>1288</v>
      </c>
      <c r="AQ578" s="2">
        <v>1028</v>
      </c>
      <c r="AR578" s="2">
        <v>1149</v>
      </c>
      <c r="AS578" s="2">
        <v>1326</v>
      </c>
      <c r="AT578" s="2">
        <v>1166</v>
      </c>
      <c r="AU578" s="2">
        <v>1077</v>
      </c>
      <c r="AV578" s="2">
        <v>843</v>
      </c>
      <c r="AW578" s="1">
        <v>574</v>
      </c>
    </row>
    <row r="579" spans="1:49" ht="12.75">
      <c r="A579" s="5">
        <v>9920</v>
      </c>
      <c r="B579" s="2" t="s">
        <v>1477</v>
      </c>
      <c r="C579" s="305">
        <v>61</v>
      </c>
      <c r="D579" s="305">
        <v>0</v>
      </c>
      <c r="E579" s="305">
        <v>28</v>
      </c>
      <c r="F579" s="305">
        <v>415</v>
      </c>
      <c r="G579" s="305">
        <v>0</v>
      </c>
      <c r="H579" s="305">
        <v>84</v>
      </c>
      <c r="I579" s="305">
        <v>0</v>
      </c>
      <c r="J579" s="1" t="s">
        <v>885</v>
      </c>
      <c r="K579" s="3" t="s">
        <v>982</v>
      </c>
      <c r="L579" s="365"/>
      <c r="M579" s="2">
        <v>415</v>
      </c>
      <c r="N579" s="311">
        <v>920</v>
      </c>
      <c r="O579" s="310" t="s">
        <v>507</v>
      </c>
      <c r="P579" s="309">
        <v>40</v>
      </c>
      <c r="Q579" s="60" t="s">
        <v>456</v>
      </c>
      <c r="R579" s="309">
        <v>5019</v>
      </c>
      <c r="S579" s="60" t="s">
        <v>679</v>
      </c>
      <c r="T579" s="61">
        <v>120</v>
      </c>
      <c r="U579" s="60" t="s">
        <v>382</v>
      </c>
      <c r="V579" s="1">
        <v>3</v>
      </c>
      <c r="W579" s="1" t="s">
        <v>1464</v>
      </c>
      <c r="X579" s="1" t="s">
        <v>1471</v>
      </c>
      <c r="Y579" s="2">
        <v>0</v>
      </c>
      <c r="Z579" s="2">
        <v>0</v>
      </c>
      <c r="AA579" s="2">
        <v>0</v>
      </c>
      <c r="AB579" s="2">
        <v>0</v>
      </c>
      <c r="AC579" s="2">
        <v>0</v>
      </c>
      <c r="AD579" s="2">
        <v>0</v>
      </c>
      <c r="AE579" s="2">
        <v>0</v>
      </c>
      <c r="AF579" s="2">
        <v>0</v>
      </c>
      <c r="AG579" s="2">
        <v>0</v>
      </c>
      <c r="AH579" s="2">
        <v>25</v>
      </c>
      <c r="AI579" s="2">
        <v>31</v>
      </c>
      <c r="AJ579" s="2">
        <v>28</v>
      </c>
      <c r="AK579" s="2">
        <v>35</v>
      </c>
      <c r="AL579" s="2">
        <v>15</v>
      </c>
      <c r="AM579" s="2">
        <v>27</v>
      </c>
      <c r="AN579" s="2">
        <v>24</v>
      </c>
      <c r="AO579" s="2">
        <v>25</v>
      </c>
      <c r="AP579" s="2">
        <v>24</v>
      </c>
      <c r="AQ579" s="2">
        <v>13</v>
      </c>
      <c r="AR579" s="2">
        <v>21</v>
      </c>
      <c r="AS579" s="2">
        <v>49</v>
      </c>
      <c r="AT579" s="2">
        <v>55</v>
      </c>
      <c r="AU579" s="2">
        <v>66</v>
      </c>
      <c r="AV579" s="2">
        <v>61</v>
      </c>
      <c r="AW579" s="1">
        <v>575</v>
      </c>
    </row>
    <row r="580" spans="1:49" ht="12.75">
      <c r="A580" s="5">
        <v>9920</v>
      </c>
      <c r="B580" s="2" t="s">
        <v>1478</v>
      </c>
      <c r="C580" s="305">
        <v>0</v>
      </c>
      <c r="D580" s="305">
        <v>0</v>
      </c>
      <c r="E580" s="305">
        <v>0</v>
      </c>
      <c r="F580" s="305">
        <v>10</v>
      </c>
      <c r="G580" s="305">
        <v>0</v>
      </c>
      <c r="H580" s="305">
        <v>0</v>
      </c>
      <c r="I580" s="305">
        <v>0</v>
      </c>
      <c r="J580" s="1" t="s">
        <v>691</v>
      </c>
      <c r="K580" s="3" t="s">
        <v>982</v>
      </c>
      <c r="L580" s="365"/>
      <c r="M580" s="2">
        <v>10</v>
      </c>
      <c r="N580" s="311">
        <v>920</v>
      </c>
      <c r="O580" s="310" t="s">
        <v>507</v>
      </c>
      <c r="P580" s="309">
        <v>40</v>
      </c>
      <c r="Q580" s="60" t="s">
        <v>456</v>
      </c>
      <c r="R580" s="309">
        <v>5019</v>
      </c>
      <c r="S580" s="60" t="s">
        <v>679</v>
      </c>
      <c r="T580" s="61">
        <v>120</v>
      </c>
      <c r="U580" s="60" t="s">
        <v>382</v>
      </c>
      <c r="V580" s="1">
        <v>3</v>
      </c>
      <c r="W580" s="1" t="s">
        <v>1464</v>
      </c>
      <c r="X580" s="1" t="s">
        <v>1471</v>
      </c>
      <c r="Y580" s="2">
        <v>0</v>
      </c>
      <c r="Z580" s="2">
        <v>0</v>
      </c>
      <c r="AA580" s="2">
        <v>0</v>
      </c>
      <c r="AB580" s="2">
        <v>0</v>
      </c>
      <c r="AC580" s="2">
        <v>0</v>
      </c>
      <c r="AD580" s="2">
        <v>0</v>
      </c>
      <c r="AE580" s="2">
        <v>0</v>
      </c>
      <c r="AF580" s="2">
        <v>0</v>
      </c>
      <c r="AG580" s="2">
        <v>0</v>
      </c>
      <c r="AH580" s="2">
        <v>0</v>
      </c>
      <c r="AI580" s="2">
        <v>0</v>
      </c>
      <c r="AJ580" s="2">
        <v>0</v>
      </c>
      <c r="AK580" s="2">
        <v>0</v>
      </c>
      <c r="AL580" s="2">
        <v>0</v>
      </c>
      <c r="AM580" s="2">
        <v>2</v>
      </c>
      <c r="AN580" s="2">
        <v>0</v>
      </c>
      <c r="AO580" s="2">
        <v>0</v>
      </c>
      <c r="AP580" s="2">
        <v>3</v>
      </c>
      <c r="AQ580" s="2">
        <v>0</v>
      </c>
      <c r="AR580" s="2">
        <v>1</v>
      </c>
      <c r="AS580" s="2">
        <v>0</v>
      </c>
      <c r="AT580" s="2">
        <v>4</v>
      </c>
      <c r="AU580" s="2">
        <v>0</v>
      </c>
      <c r="AV580" s="2">
        <v>0</v>
      </c>
      <c r="AW580" s="1">
        <v>576</v>
      </c>
    </row>
    <row r="581" spans="1:49" ht="12.75">
      <c r="A581" s="5">
        <v>9920</v>
      </c>
      <c r="B581" s="2" t="s">
        <v>1479</v>
      </c>
      <c r="C581" s="305">
        <v>64</v>
      </c>
      <c r="D581" s="305">
        <v>0</v>
      </c>
      <c r="E581" s="305">
        <v>145</v>
      </c>
      <c r="F581" s="305">
        <v>2994</v>
      </c>
      <c r="G581" s="305">
        <v>0</v>
      </c>
      <c r="H581" s="305">
        <v>665</v>
      </c>
      <c r="I581" s="305">
        <v>0</v>
      </c>
      <c r="J581" s="1" t="s">
        <v>693</v>
      </c>
      <c r="K581" s="3" t="s">
        <v>982</v>
      </c>
      <c r="L581" s="365"/>
      <c r="M581" s="2">
        <v>2994</v>
      </c>
      <c r="N581" s="311">
        <v>920</v>
      </c>
      <c r="O581" s="310" t="s">
        <v>507</v>
      </c>
      <c r="P581" s="309">
        <v>40</v>
      </c>
      <c r="Q581" s="60" t="s">
        <v>456</v>
      </c>
      <c r="R581" s="309">
        <v>5019</v>
      </c>
      <c r="S581" s="60" t="s">
        <v>679</v>
      </c>
      <c r="T581" s="61">
        <v>120</v>
      </c>
      <c r="U581" s="60" t="s">
        <v>382</v>
      </c>
      <c r="V581" s="1">
        <v>3</v>
      </c>
      <c r="W581" s="1" t="s">
        <v>1464</v>
      </c>
      <c r="X581" s="1" t="s">
        <v>1471</v>
      </c>
      <c r="Y581" s="2">
        <v>0</v>
      </c>
      <c r="Z581" s="2">
        <v>0</v>
      </c>
      <c r="AA581" s="2">
        <v>0</v>
      </c>
      <c r="AB581" s="2">
        <v>0</v>
      </c>
      <c r="AC581" s="2">
        <v>0</v>
      </c>
      <c r="AD581" s="2">
        <v>0</v>
      </c>
      <c r="AE581" s="2">
        <v>0</v>
      </c>
      <c r="AF581" s="2">
        <v>0</v>
      </c>
      <c r="AG581" s="2">
        <v>0</v>
      </c>
      <c r="AH581" s="2">
        <v>358</v>
      </c>
      <c r="AI581" s="2">
        <v>162</v>
      </c>
      <c r="AJ581" s="2">
        <v>145</v>
      </c>
      <c r="AK581" s="2">
        <v>127</v>
      </c>
      <c r="AL581" s="2">
        <v>145</v>
      </c>
      <c r="AM581" s="2">
        <v>632</v>
      </c>
      <c r="AN581" s="2">
        <v>482</v>
      </c>
      <c r="AO581" s="2">
        <v>302</v>
      </c>
      <c r="AP581" s="2">
        <v>279</v>
      </c>
      <c r="AQ581" s="2">
        <v>290</v>
      </c>
      <c r="AR581" s="2">
        <v>297</v>
      </c>
      <c r="AS581" s="2">
        <v>160</v>
      </c>
      <c r="AT581" s="2">
        <v>143</v>
      </c>
      <c r="AU581" s="2">
        <v>73</v>
      </c>
      <c r="AV581" s="2">
        <v>64</v>
      </c>
      <c r="AW581" s="1">
        <v>577</v>
      </c>
    </row>
    <row r="582" spans="1:49" ht="12.75">
      <c r="A582" s="5">
        <v>9920</v>
      </c>
      <c r="B582" s="2" t="s">
        <v>1480</v>
      </c>
      <c r="C582" s="305">
        <v>189</v>
      </c>
      <c r="D582" s="305">
        <v>0</v>
      </c>
      <c r="E582" s="305">
        <v>125</v>
      </c>
      <c r="F582" s="305">
        <v>2061</v>
      </c>
      <c r="G582" s="305">
        <v>0</v>
      </c>
      <c r="H582" s="305">
        <v>465</v>
      </c>
      <c r="I582" s="305">
        <v>0</v>
      </c>
      <c r="J582" s="1" t="s">
        <v>697</v>
      </c>
      <c r="K582" s="3" t="s">
        <v>982</v>
      </c>
      <c r="L582" s="365"/>
      <c r="M582" s="2">
        <v>2061</v>
      </c>
      <c r="N582" s="311">
        <v>920</v>
      </c>
      <c r="O582" s="310" t="s">
        <v>507</v>
      </c>
      <c r="P582" s="309">
        <v>40</v>
      </c>
      <c r="Q582" s="60" t="s">
        <v>456</v>
      </c>
      <c r="R582" s="309">
        <v>5021</v>
      </c>
      <c r="S582" s="60" t="s">
        <v>201</v>
      </c>
      <c r="T582" s="61">
        <v>130</v>
      </c>
      <c r="U582" s="60" t="s">
        <v>502</v>
      </c>
      <c r="V582" s="1">
        <v>3</v>
      </c>
      <c r="W582" s="1" t="s">
        <v>1464</v>
      </c>
      <c r="X582" s="1" t="s">
        <v>1481</v>
      </c>
      <c r="Y582" s="2">
        <v>0</v>
      </c>
      <c r="Z582" s="2">
        <v>0</v>
      </c>
      <c r="AA582" s="2">
        <v>0</v>
      </c>
      <c r="AB582" s="2">
        <v>0</v>
      </c>
      <c r="AC582" s="2">
        <v>0</v>
      </c>
      <c r="AD582" s="2">
        <v>0</v>
      </c>
      <c r="AE582" s="2">
        <v>0</v>
      </c>
      <c r="AF582" s="2">
        <v>0</v>
      </c>
      <c r="AG582" s="2">
        <v>0</v>
      </c>
      <c r="AH582" s="2">
        <v>192</v>
      </c>
      <c r="AI582" s="2">
        <v>148</v>
      </c>
      <c r="AJ582" s="2">
        <v>125</v>
      </c>
      <c r="AK582" s="2">
        <v>128</v>
      </c>
      <c r="AL582" s="2">
        <v>125</v>
      </c>
      <c r="AM582" s="2">
        <v>178</v>
      </c>
      <c r="AN582" s="2">
        <v>205</v>
      </c>
      <c r="AO582" s="2">
        <v>218</v>
      </c>
      <c r="AP582" s="2">
        <v>163</v>
      </c>
      <c r="AQ582" s="2">
        <v>194</v>
      </c>
      <c r="AR582" s="2">
        <v>173</v>
      </c>
      <c r="AS582" s="2">
        <v>150</v>
      </c>
      <c r="AT582" s="2">
        <v>168</v>
      </c>
      <c r="AU582" s="2">
        <v>170</v>
      </c>
      <c r="AV582" s="2">
        <v>189</v>
      </c>
      <c r="AW582" s="1">
        <v>578</v>
      </c>
    </row>
    <row r="583" spans="1:49" ht="12.75">
      <c r="A583" s="5">
        <v>9920</v>
      </c>
      <c r="B583" s="2" t="s">
        <v>1482</v>
      </c>
      <c r="C583" s="305">
        <v>378</v>
      </c>
      <c r="D583" s="305">
        <v>0</v>
      </c>
      <c r="E583" s="305">
        <v>326</v>
      </c>
      <c r="F583" s="305">
        <v>4504</v>
      </c>
      <c r="G583" s="305">
        <v>0</v>
      </c>
      <c r="H583" s="305">
        <v>933.1</v>
      </c>
      <c r="I583" s="305">
        <v>0</v>
      </c>
      <c r="J583" s="1" t="s">
        <v>699</v>
      </c>
      <c r="K583" s="3" t="s">
        <v>982</v>
      </c>
      <c r="L583" s="365"/>
      <c r="M583" s="2">
        <v>4504</v>
      </c>
      <c r="N583" s="311">
        <v>920</v>
      </c>
      <c r="O583" s="310" t="s">
        <v>507</v>
      </c>
      <c r="P583" s="309">
        <v>40</v>
      </c>
      <c r="Q583" s="60" t="s">
        <v>456</v>
      </c>
      <c r="R583" s="309">
        <v>5021</v>
      </c>
      <c r="S583" s="60" t="s">
        <v>201</v>
      </c>
      <c r="T583" s="61">
        <v>130</v>
      </c>
      <c r="U583" s="60" t="s">
        <v>502</v>
      </c>
      <c r="V583" s="1">
        <v>3</v>
      </c>
      <c r="W583" s="1" t="s">
        <v>1464</v>
      </c>
      <c r="X583" s="1" t="s">
        <v>1481</v>
      </c>
      <c r="Y583" s="2">
        <v>0</v>
      </c>
      <c r="Z583" s="2">
        <v>0</v>
      </c>
      <c r="AA583" s="2">
        <v>0</v>
      </c>
      <c r="AB583" s="2">
        <v>0</v>
      </c>
      <c r="AC583" s="2">
        <v>0</v>
      </c>
      <c r="AD583" s="2">
        <v>0</v>
      </c>
      <c r="AE583" s="2">
        <v>0</v>
      </c>
      <c r="AF583" s="2">
        <v>0</v>
      </c>
      <c r="AG583" s="2">
        <v>0</v>
      </c>
      <c r="AH583" s="2">
        <v>298</v>
      </c>
      <c r="AI583" s="2">
        <v>309.1</v>
      </c>
      <c r="AJ583" s="2">
        <v>326</v>
      </c>
      <c r="AK583" s="2">
        <v>457</v>
      </c>
      <c r="AL583" s="2">
        <v>403</v>
      </c>
      <c r="AM583" s="2">
        <v>429</v>
      </c>
      <c r="AN583" s="2">
        <v>279</v>
      </c>
      <c r="AO583" s="2">
        <v>294</v>
      </c>
      <c r="AP583" s="2">
        <v>296</v>
      </c>
      <c r="AQ583" s="2">
        <v>339</v>
      </c>
      <c r="AR583" s="2">
        <v>382</v>
      </c>
      <c r="AS583" s="2">
        <v>521</v>
      </c>
      <c r="AT583" s="2">
        <v>373</v>
      </c>
      <c r="AU583" s="2">
        <v>353</v>
      </c>
      <c r="AV583" s="2">
        <v>378</v>
      </c>
      <c r="AW583" s="1">
        <v>579</v>
      </c>
    </row>
    <row r="584" spans="1:49" ht="12.75">
      <c r="A584" s="5">
        <v>9920</v>
      </c>
      <c r="B584" s="2" t="s">
        <v>1483</v>
      </c>
      <c r="C584" s="305">
        <v>3</v>
      </c>
      <c r="D584" s="305">
        <v>0</v>
      </c>
      <c r="E584" s="305">
        <v>10</v>
      </c>
      <c r="F584" s="305">
        <v>33</v>
      </c>
      <c r="G584" s="305">
        <v>0</v>
      </c>
      <c r="H584" s="305">
        <v>13</v>
      </c>
      <c r="I584" s="305">
        <v>0</v>
      </c>
      <c r="J584" s="1" t="s">
        <v>701</v>
      </c>
      <c r="K584" s="3" t="s">
        <v>982</v>
      </c>
      <c r="L584" s="365"/>
      <c r="M584" s="2">
        <v>33</v>
      </c>
      <c r="N584" s="311">
        <v>920</v>
      </c>
      <c r="O584" s="310" t="s">
        <v>507</v>
      </c>
      <c r="P584" s="309">
        <v>40</v>
      </c>
      <c r="Q584" s="60" t="s">
        <v>456</v>
      </c>
      <c r="R584" s="309">
        <v>5021</v>
      </c>
      <c r="S584" s="60" t="s">
        <v>201</v>
      </c>
      <c r="T584" s="61">
        <v>130</v>
      </c>
      <c r="U584" s="60" t="s">
        <v>502</v>
      </c>
      <c r="V584" s="1">
        <v>3</v>
      </c>
      <c r="W584" s="1" t="s">
        <v>1464</v>
      </c>
      <c r="X584" s="1" t="s">
        <v>1481</v>
      </c>
      <c r="Y584" s="2">
        <v>0</v>
      </c>
      <c r="Z584" s="2">
        <v>0</v>
      </c>
      <c r="AA584" s="2">
        <v>0</v>
      </c>
      <c r="AB584" s="2">
        <v>0</v>
      </c>
      <c r="AC584" s="2">
        <v>0</v>
      </c>
      <c r="AD584" s="2">
        <v>0</v>
      </c>
      <c r="AE584" s="2">
        <v>0</v>
      </c>
      <c r="AF584" s="2">
        <v>0</v>
      </c>
      <c r="AG584" s="2">
        <v>0</v>
      </c>
      <c r="AH584" s="2">
        <v>0</v>
      </c>
      <c r="AI584" s="2">
        <v>3</v>
      </c>
      <c r="AJ584" s="2">
        <v>10</v>
      </c>
      <c r="AK584" s="2">
        <v>6</v>
      </c>
      <c r="AL584" s="2">
        <v>0</v>
      </c>
      <c r="AM584" s="2">
        <v>4</v>
      </c>
      <c r="AN584" s="2">
        <v>6</v>
      </c>
      <c r="AO584" s="2">
        <v>1</v>
      </c>
      <c r="AP584" s="2">
        <v>1</v>
      </c>
      <c r="AQ584" s="2">
        <v>1</v>
      </c>
      <c r="AR584" s="2">
        <v>0</v>
      </c>
      <c r="AS584" s="2">
        <v>3</v>
      </c>
      <c r="AT584" s="2">
        <v>1</v>
      </c>
      <c r="AU584" s="2">
        <v>7</v>
      </c>
      <c r="AV584" s="2">
        <v>3</v>
      </c>
      <c r="AW584" s="1">
        <v>580</v>
      </c>
    </row>
    <row r="585" spans="1:49" ht="12.75">
      <c r="A585" s="5">
        <v>9920</v>
      </c>
      <c r="B585" s="2" t="s">
        <v>1484</v>
      </c>
      <c r="C585" s="305">
        <v>822.53</v>
      </c>
      <c r="D585" s="305">
        <v>0</v>
      </c>
      <c r="E585" s="305">
        <v>1555.14</v>
      </c>
      <c r="F585" s="305">
        <v>22552.36</v>
      </c>
      <c r="G585" s="305">
        <v>0</v>
      </c>
      <c r="H585" s="305">
        <v>27192.08</v>
      </c>
      <c r="I585" s="305">
        <v>0</v>
      </c>
      <c r="J585" s="1" t="s">
        <v>597</v>
      </c>
      <c r="K585" s="3" t="s">
        <v>982</v>
      </c>
      <c r="L585" s="365"/>
      <c r="M585" s="2">
        <v>22552.36</v>
      </c>
      <c r="N585" s="311">
        <v>920</v>
      </c>
      <c r="O585" s="310" t="s">
        <v>507</v>
      </c>
      <c r="P585" s="309">
        <v>10</v>
      </c>
      <c r="Q585" s="60" t="s">
        <v>454</v>
      </c>
      <c r="R585" s="309">
        <v>1001</v>
      </c>
      <c r="S585" s="60" t="s">
        <v>455</v>
      </c>
      <c r="T585" s="61">
        <v>110</v>
      </c>
      <c r="U585" s="60" t="s">
        <v>495</v>
      </c>
      <c r="V585" s="1">
        <v>3</v>
      </c>
      <c r="W585" s="1" t="s">
        <v>1464</v>
      </c>
      <c r="X585" s="1" t="s">
        <v>1485</v>
      </c>
      <c r="Y585" s="2">
        <v>1435.33</v>
      </c>
      <c r="Z585" s="2">
        <v>1547.55</v>
      </c>
      <c r="AA585" s="2">
        <v>1863.35</v>
      </c>
      <c r="AB585" s="2">
        <v>2522.1</v>
      </c>
      <c r="AC585" s="2">
        <v>3400.02</v>
      </c>
      <c r="AD585" s="2">
        <v>2990.79</v>
      </c>
      <c r="AE585" s="2">
        <v>3031.36</v>
      </c>
      <c r="AF585" s="2">
        <v>2777.08</v>
      </c>
      <c r="AG585" s="2">
        <v>2635.45</v>
      </c>
      <c r="AH585" s="2">
        <v>1838.7</v>
      </c>
      <c r="AI585" s="2">
        <v>1595.21</v>
      </c>
      <c r="AJ585" s="2">
        <v>1555.14</v>
      </c>
      <c r="AK585" s="2">
        <v>1462.36</v>
      </c>
      <c r="AL585" s="2">
        <v>929.37</v>
      </c>
      <c r="AM585" s="2">
        <v>2052.72</v>
      </c>
      <c r="AN585" s="2">
        <v>2881.21</v>
      </c>
      <c r="AO585" s="2">
        <v>2650.74</v>
      </c>
      <c r="AP585" s="2">
        <v>3062.8</v>
      </c>
      <c r="AQ585" s="2">
        <v>1884.96</v>
      </c>
      <c r="AR585" s="2">
        <v>2116.53</v>
      </c>
      <c r="AS585" s="2">
        <v>2151.67</v>
      </c>
      <c r="AT585" s="2">
        <v>1506.22</v>
      </c>
      <c r="AU585" s="2">
        <v>1031.25</v>
      </c>
      <c r="AV585" s="2">
        <v>822.53</v>
      </c>
      <c r="AW585" s="1">
        <v>581</v>
      </c>
    </row>
    <row r="586" spans="1:49" ht="12.75">
      <c r="A586" s="5">
        <v>9920</v>
      </c>
      <c r="B586" s="2" t="s">
        <v>1486</v>
      </c>
      <c r="C586" s="305">
        <v>39796.95</v>
      </c>
      <c r="D586" s="305">
        <v>0</v>
      </c>
      <c r="E586" s="305">
        <v>42712.31</v>
      </c>
      <c r="F586" s="305">
        <v>556179.42</v>
      </c>
      <c r="G586" s="305">
        <v>0</v>
      </c>
      <c r="H586" s="305">
        <v>686626.36</v>
      </c>
      <c r="I586" s="305">
        <v>0</v>
      </c>
      <c r="J586" s="1" t="s">
        <v>596</v>
      </c>
      <c r="K586" s="3" t="s">
        <v>982</v>
      </c>
      <c r="L586" s="365"/>
      <c r="M586" s="2">
        <v>556179.42</v>
      </c>
      <c r="N586" s="311">
        <v>920</v>
      </c>
      <c r="O586" s="310" t="s">
        <v>507</v>
      </c>
      <c r="P586" s="309">
        <v>10</v>
      </c>
      <c r="Q586" s="60" t="s">
        <v>454</v>
      </c>
      <c r="R586" s="309">
        <v>1001</v>
      </c>
      <c r="S586" s="60" t="s">
        <v>455</v>
      </c>
      <c r="T586" s="61">
        <v>110</v>
      </c>
      <c r="U586" s="60" t="s">
        <v>495</v>
      </c>
      <c r="V586" s="1">
        <v>3</v>
      </c>
      <c r="W586" s="1" t="s">
        <v>1464</v>
      </c>
      <c r="X586" s="1" t="s">
        <v>1487</v>
      </c>
      <c r="Y586" s="2">
        <v>44088.08</v>
      </c>
      <c r="Z586" s="2">
        <v>42119.93</v>
      </c>
      <c r="AA586" s="2">
        <v>49457.31</v>
      </c>
      <c r="AB586" s="2">
        <v>49107.84</v>
      </c>
      <c r="AC586" s="2">
        <v>71835.81</v>
      </c>
      <c r="AD586" s="2">
        <v>68962.3</v>
      </c>
      <c r="AE586" s="2">
        <v>88783.16</v>
      </c>
      <c r="AF586" s="2">
        <v>78547.8</v>
      </c>
      <c r="AG586" s="2">
        <v>51371.96</v>
      </c>
      <c r="AH586" s="2">
        <v>53329.78</v>
      </c>
      <c r="AI586" s="2">
        <v>46310.08</v>
      </c>
      <c r="AJ586" s="2">
        <v>42712.31</v>
      </c>
      <c r="AK586" s="2">
        <v>37456.27</v>
      </c>
      <c r="AL586" s="2">
        <v>36410.57</v>
      </c>
      <c r="AM586" s="2">
        <v>43686.16</v>
      </c>
      <c r="AN586" s="2">
        <v>46938.13</v>
      </c>
      <c r="AO586" s="2">
        <v>46447.47</v>
      </c>
      <c r="AP586" s="2">
        <v>56403.05</v>
      </c>
      <c r="AQ586" s="2">
        <v>56715.67</v>
      </c>
      <c r="AR586" s="2">
        <v>57458.79</v>
      </c>
      <c r="AS586" s="2">
        <v>49246.32</v>
      </c>
      <c r="AT586" s="2">
        <v>43124.55</v>
      </c>
      <c r="AU586" s="2">
        <v>42495.49</v>
      </c>
      <c r="AV586" s="2">
        <v>39796.95</v>
      </c>
      <c r="AW586" s="1">
        <v>582</v>
      </c>
    </row>
    <row r="587" spans="1:49" ht="12.75">
      <c r="A587" s="5">
        <v>9920</v>
      </c>
      <c r="B587" s="2" t="s">
        <v>1488</v>
      </c>
      <c r="C587" s="305">
        <v>852</v>
      </c>
      <c r="D587" s="305">
        <v>0</v>
      </c>
      <c r="E587" s="305">
        <v>931</v>
      </c>
      <c r="F587" s="305">
        <v>12664</v>
      </c>
      <c r="G587" s="305">
        <v>0</v>
      </c>
      <c r="H587" s="305">
        <v>3059</v>
      </c>
      <c r="I587" s="305">
        <v>0</v>
      </c>
      <c r="J587" s="1" t="s">
        <v>703</v>
      </c>
      <c r="K587" s="3" t="s">
        <v>982</v>
      </c>
      <c r="L587" s="365"/>
      <c r="M587" s="2">
        <v>12664</v>
      </c>
      <c r="N587" s="311">
        <v>920</v>
      </c>
      <c r="O587" s="310" t="s">
        <v>507</v>
      </c>
      <c r="P587" s="309">
        <v>40</v>
      </c>
      <c r="Q587" s="60" t="s">
        <v>456</v>
      </c>
      <c r="R587" s="309">
        <v>5025</v>
      </c>
      <c r="S587" s="60" t="s">
        <v>204</v>
      </c>
      <c r="T587" s="61">
        <v>140</v>
      </c>
      <c r="U587" s="60" t="s">
        <v>504</v>
      </c>
      <c r="V587" s="1">
        <v>3</v>
      </c>
      <c r="W587" s="1" t="s">
        <v>1464</v>
      </c>
      <c r="X587" s="1" t="s">
        <v>1489</v>
      </c>
      <c r="Y587" s="2">
        <v>0</v>
      </c>
      <c r="Z587" s="2">
        <v>0</v>
      </c>
      <c r="AA587" s="2">
        <v>0</v>
      </c>
      <c r="AB587" s="2">
        <v>0</v>
      </c>
      <c r="AC587" s="2">
        <v>0</v>
      </c>
      <c r="AD587" s="2">
        <v>0</v>
      </c>
      <c r="AE587" s="2">
        <v>0</v>
      </c>
      <c r="AF587" s="2">
        <v>0</v>
      </c>
      <c r="AG587" s="2">
        <v>0</v>
      </c>
      <c r="AH587" s="2">
        <v>1176</v>
      </c>
      <c r="AI587" s="2">
        <v>952</v>
      </c>
      <c r="AJ587" s="2">
        <v>931</v>
      </c>
      <c r="AK587" s="2">
        <v>986</v>
      </c>
      <c r="AL587" s="2">
        <v>833</v>
      </c>
      <c r="AM587" s="2">
        <v>1020</v>
      </c>
      <c r="AN587" s="2">
        <v>1217</v>
      </c>
      <c r="AO587" s="2">
        <v>1365</v>
      </c>
      <c r="AP587" s="2">
        <v>1386</v>
      </c>
      <c r="AQ587" s="2">
        <v>985</v>
      </c>
      <c r="AR587" s="2">
        <v>1059</v>
      </c>
      <c r="AS587" s="2">
        <v>1023</v>
      </c>
      <c r="AT587" s="2">
        <v>960</v>
      </c>
      <c r="AU587" s="2">
        <v>978</v>
      </c>
      <c r="AV587" s="2">
        <v>852</v>
      </c>
      <c r="AW587" s="1">
        <v>583</v>
      </c>
    </row>
    <row r="588" spans="1:49" ht="12.75">
      <c r="A588" s="5">
        <v>9920</v>
      </c>
      <c r="B588" s="2" t="s">
        <v>1490</v>
      </c>
      <c r="C588" s="305">
        <v>6</v>
      </c>
      <c r="D588" s="305">
        <v>0</v>
      </c>
      <c r="E588" s="305">
        <v>3</v>
      </c>
      <c r="F588" s="305">
        <v>78</v>
      </c>
      <c r="G588" s="305">
        <v>0</v>
      </c>
      <c r="H588" s="305">
        <v>16</v>
      </c>
      <c r="I588" s="305">
        <v>0</v>
      </c>
      <c r="J588" s="1" t="s">
        <v>705</v>
      </c>
      <c r="K588" s="3" t="s">
        <v>982</v>
      </c>
      <c r="L588" s="365"/>
      <c r="M588" s="2">
        <v>78</v>
      </c>
      <c r="N588" s="311">
        <v>920</v>
      </c>
      <c r="O588" s="310" t="s">
        <v>507</v>
      </c>
      <c r="P588" s="309">
        <v>40</v>
      </c>
      <c r="Q588" s="60" t="s">
        <v>456</v>
      </c>
      <c r="R588" s="309">
        <v>5025</v>
      </c>
      <c r="S588" s="60" t="s">
        <v>204</v>
      </c>
      <c r="T588" s="61">
        <v>140</v>
      </c>
      <c r="U588" s="60" t="s">
        <v>504</v>
      </c>
      <c r="V588" s="1">
        <v>3</v>
      </c>
      <c r="W588" s="1" t="s">
        <v>1464</v>
      </c>
      <c r="X588" s="1" t="s">
        <v>1489</v>
      </c>
      <c r="Y588" s="2">
        <v>0</v>
      </c>
      <c r="Z588" s="2">
        <v>0</v>
      </c>
      <c r="AA588" s="2">
        <v>0</v>
      </c>
      <c r="AB588" s="2">
        <v>0</v>
      </c>
      <c r="AC588" s="2">
        <v>0</v>
      </c>
      <c r="AD588" s="2">
        <v>0</v>
      </c>
      <c r="AE588" s="2">
        <v>0</v>
      </c>
      <c r="AF588" s="2">
        <v>0</v>
      </c>
      <c r="AG588" s="2">
        <v>0</v>
      </c>
      <c r="AH588" s="2">
        <v>7</v>
      </c>
      <c r="AI588" s="2">
        <v>6</v>
      </c>
      <c r="AJ588" s="2">
        <v>3</v>
      </c>
      <c r="AK588" s="2">
        <v>7</v>
      </c>
      <c r="AL588" s="2">
        <v>3</v>
      </c>
      <c r="AM588" s="2">
        <v>3</v>
      </c>
      <c r="AN588" s="2">
        <v>11</v>
      </c>
      <c r="AO588" s="2">
        <v>11</v>
      </c>
      <c r="AP588" s="2">
        <v>10</v>
      </c>
      <c r="AQ588" s="2">
        <v>4</v>
      </c>
      <c r="AR588" s="2">
        <v>5</v>
      </c>
      <c r="AS588" s="2">
        <v>4</v>
      </c>
      <c r="AT588" s="2">
        <v>5</v>
      </c>
      <c r="AU588" s="2">
        <v>9</v>
      </c>
      <c r="AV588" s="2">
        <v>6</v>
      </c>
      <c r="AW588" s="1">
        <v>584</v>
      </c>
    </row>
    <row r="589" spans="1:49" ht="12.75">
      <c r="A589" s="5">
        <v>9920</v>
      </c>
      <c r="B589" s="2" t="s">
        <v>1491</v>
      </c>
      <c r="C589" s="305">
        <v>523</v>
      </c>
      <c r="D589" s="305">
        <v>0</v>
      </c>
      <c r="E589" s="305">
        <v>513</v>
      </c>
      <c r="F589" s="305">
        <v>6434</v>
      </c>
      <c r="G589" s="305">
        <v>0</v>
      </c>
      <c r="H589" s="305">
        <v>1603</v>
      </c>
      <c r="I589" s="305">
        <v>0</v>
      </c>
      <c r="J589" s="1" t="s">
        <v>707</v>
      </c>
      <c r="K589" s="3" t="s">
        <v>982</v>
      </c>
      <c r="L589" s="365"/>
      <c r="M589" s="2">
        <v>6434</v>
      </c>
      <c r="N589" s="311">
        <v>920</v>
      </c>
      <c r="O589" s="310" t="s">
        <v>507</v>
      </c>
      <c r="P589" s="309">
        <v>40</v>
      </c>
      <c r="Q589" s="60" t="s">
        <v>456</v>
      </c>
      <c r="R589" s="309">
        <v>5025</v>
      </c>
      <c r="S589" s="60" t="s">
        <v>204</v>
      </c>
      <c r="T589" s="61">
        <v>140</v>
      </c>
      <c r="U589" s="60" t="s">
        <v>504</v>
      </c>
      <c r="V589" s="1">
        <v>3</v>
      </c>
      <c r="W589" s="1" t="s">
        <v>1464</v>
      </c>
      <c r="X589" s="1" t="s">
        <v>1492</v>
      </c>
      <c r="Y589" s="2">
        <v>0</v>
      </c>
      <c r="Z589" s="2">
        <v>0</v>
      </c>
      <c r="AA589" s="2">
        <v>0</v>
      </c>
      <c r="AB589" s="2">
        <v>0</v>
      </c>
      <c r="AC589" s="2">
        <v>0</v>
      </c>
      <c r="AD589" s="2">
        <v>0</v>
      </c>
      <c r="AE589" s="2">
        <v>0</v>
      </c>
      <c r="AF589" s="2">
        <v>0</v>
      </c>
      <c r="AG589" s="2">
        <v>0</v>
      </c>
      <c r="AH589" s="2">
        <v>618</v>
      </c>
      <c r="AI589" s="2">
        <v>472</v>
      </c>
      <c r="AJ589" s="2">
        <v>513</v>
      </c>
      <c r="AK589" s="2">
        <v>530</v>
      </c>
      <c r="AL589" s="2">
        <v>401</v>
      </c>
      <c r="AM589" s="2">
        <v>558</v>
      </c>
      <c r="AN589" s="2">
        <v>715</v>
      </c>
      <c r="AO589" s="2">
        <v>712</v>
      </c>
      <c r="AP589" s="2">
        <v>704</v>
      </c>
      <c r="AQ589" s="2">
        <v>489</v>
      </c>
      <c r="AR589" s="2">
        <v>458</v>
      </c>
      <c r="AS589" s="2">
        <v>440</v>
      </c>
      <c r="AT589" s="2">
        <v>469</v>
      </c>
      <c r="AU589" s="2">
        <v>435</v>
      </c>
      <c r="AV589" s="2">
        <v>523</v>
      </c>
      <c r="AW589" s="1">
        <v>585</v>
      </c>
    </row>
    <row r="590" spans="1:49" ht="12.75">
      <c r="A590" s="5">
        <v>9920</v>
      </c>
      <c r="B590" s="2" t="s">
        <v>1493</v>
      </c>
      <c r="C590" s="305">
        <v>108</v>
      </c>
      <c r="D590" s="305">
        <v>0</v>
      </c>
      <c r="E590" s="305">
        <v>138</v>
      </c>
      <c r="F590" s="305">
        <v>2041</v>
      </c>
      <c r="G590" s="305">
        <v>0</v>
      </c>
      <c r="H590" s="305">
        <v>492</v>
      </c>
      <c r="I590" s="305">
        <v>0</v>
      </c>
      <c r="J590" s="1" t="s">
        <v>709</v>
      </c>
      <c r="K590" s="3" t="s">
        <v>982</v>
      </c>
      <c r="L590" s="365"/>
      <c r="M590" s="2">
        <v>2041</v>
      </c>
      <c r="N590" s="311">
        <v>920</v>
      </c>
      <c r="O590" s="310" t="s">
        <v>507</v>
      </c>
      <c r="P590" s="309">
        <v>40</v>
      </c>
      <c r="Q590" s="60" t="s">
        <v>456</v>
      </c>
      <c r="R590" s="309">
        <v>5025</v>
      </c>
      <c r="S590" s="60" t="s">
        <v>204</v>
      </c>
      <c r="T590" s="61">
        <v>140</v>
      </c>
      <c r="U590" s="60" t="s">
        <v>504</v>
      </c>
      <c r="V590" s="1">
        <v>3</v>
      </c>
      <c r="W590" s="1" t="s">
        <v>1464</v>
      </c>
      <c r="X590" s="1" t="s">
        <v>1494</v>
      </c>
      <c r="Y590" s="2">
        <v>0</v>
      </c>
      <c r="Z590" s="2">
        <v>0</v>
      </c>
      <c r="AA590" s="2">
        <v>0</v>
      </c>
      <c r="AB590" s="2">
        <v>0</v>
      </c>
      <c r="AC590" s="2">
        <v>0</v>
      </c>
      <c r="AD590" s="2">
        <v>0</v>
      </c>
      <c r="AE590" s="2">
        <v>0</v>
      </c>
      <c r="AF590" s="2">
        <v>0</v>
      </c>
      <c r="AG590" s="2">
        <v>0</v>
      </c>
      <c r="AH590" s="2">
        <v>209</v>
      </c>
      <c r="AI590" s="2">
        <v>145</v>
      </c>
      <c r="AJ590" s="2">
        <v>138</v>
      </c>
      <c r="AK590" s="2">
        <v>131</v>
      </c>
      <c r="AL590" s="2">
        <v>108</v>
      </c>
      <c r="AM590" s="2">
        <v>166</v>
      </c>
      <c r="AN590" s="2">
        <v>223</v>
      </c>
      <c r="AO590" s="2">
        <v>233</v>
      </c>
      <c r="AP590" s="2">
        <v>281</v>
      </c>
      <c r="AQ590" s="2">
        <v>193</v>
      </c>
      <c r="AR590" s="2">
        <v>198</v>
      </c>
      <c r="AS590" s="2">
        <v>175</v>
      </c>
      <c r="AT590" s="2">
        <v>106</v>
      </c>
      <c r="AU590" s="2">
        <v>119</v>
      </c>
      <c r="AV590" s="2">
        <v>108</v>
      </c>
      <c r="AW590" s="1">
        <v>586</v>
      </c>
    </row>
    <row r="591" spans="1:49" ht="12.75">
      <c r="A591" s="5">
        <v>9920</v>
      </c>
      <c r="B591" s="2" t="s">
        <v>1495</v>
      </c>
      <c r="C591" s="305">
        <v>310</v>
      </c>
      <c r="D591" s="305">
        <v>0</v>
      </c>
      <c r="E591" s="305">
        <v>354</v>
      </c>
      <c r="F591" s="305">
        <v>5113</v>
      </c>
      <c r="G591" s="305">
        <v>0</v>
      </c>
      <c r="H591" s="305">
        <v>1240</v>
      </c>
      <c r="I591" s="305">
        <v>0</v>
      </c>
      <c r="J591" s="1" t="s">
        <v>711</v>
      </c>
      <c r="K591" s="3" t="s">
        <v>982</v>
      </c>
      <c r="L591" s="365"/>
      <c r="M591" s="2">
        <v>5113</v>
      </c>
      <c r="N591" s="311">
        <v>920</v>
      </c>
      <c r="O591" s="310" t="s">
        <v>507</v>
      </c>
      <c r="P591" s="309">
        <v>40</v>
      </c>
      <c r="Q591" s="60" t="s">
        <v>456</v>
      </c>
      <c r="R591" s="309">
        <v>5025</v>
      </c>
      <c r="S591" s="60" t="s">
        <v>204</v>
      </c>
      <c r="T591" s="61">
        <v>140</v>
      </c>
      <c r="U591" s="60" t="s">
        <v>504</v>
      </c>
      <c r="V591" s="1">
        <v>3</v>
      </c>
      <c r="W591" s="1" t="s">
        <v>1464</v>
      </c>
      <c r="X591" s="1" t="s">
        <v>1496</v>
      </c>
      <c r="Y591" s="2">
        <v>0</v>
      </c>
      <c r="Z591" s="2">
        <v>0</v>
      </c>
      <c r="AA591" s="2">
        <v>0</v>
      </c>
      <c r="AB591" s="2">
        <v>0</v>
      </c>
      <c r="AC591" s="2">
        <v>0</v>
      </c>
      <c r="AD591" s="2">
        <v>0</v>
      </c>
      <c r="AE591" s="2">
        <v>0</v>
      </c>
      <c r="AF591" s="2">
        <v>0</v>
      </c>
      <c r="AG591" s="2">
        <v>0</v>
      </c>
      <c r="AH591" s="2">
        <v>484</v>
      </c>
      <c r="AI591" s="2">
        <v>402</v>
      </c>
      <c r="AJ591" s="2">
        <v>354</v>
      </c>
      <c r="AK591" s="2">
        <v>373</v>
      </c>
      <c r="AL591" s="2">
        <v>278</v>
      </c>
      <c r="AM591" s="2">
        <v>320</v>
      </c>
      <c r="AN591" s="2">
        <v>519</v>
      </c>
      <c r="AO591" s="2">
        <v>619</v>
      </c>
      <c r="AP591" s="2">
        <v>655</v>
      </c>
      <c r="AQ591" s="2">
        <v>446</v>
      </c>
      <c r="AR591" s="2">
        <v>487</v>
      </c>
      <c r="AS591" s="2">
        <v>462</v>
      </c>
      <c r="AT591" s="2">
        <v>351</v>
      </c>
      <c r="AU591" s="2">
        <v>293</v>
      </c>
      <c r="AV591" s="2">
        <v>310</v>
      </c>
      <c r="AW591" s="1">
        <v>587</v>
      </c>
    </row>
    <row r="592" spans="1:49" ht="12.75">
      <c r="A592" s="5">
        <v>9920</v>
      </c>
      <c r="B592" s="2" t="s">
        <v>1497</v>
      </c>
      <c r="C592" s="305">
        <v>0</v>
      </c>
      <c r="D592" s="305">
        <v>0</v>
      </c>
      <c r="E592" s="305">
        <v>0</v>
      </c>
      <c r="F592" s="305">
        <v>0</v>
      </c>
      <c r="G592" s="305">
        <v>0</v>
      </c>
      <c r="H592" s="305">
        <v>89.6</v>
      </c>
      <c r="I592" s="305">
        <v>0</v>
      </c>
      <c r="J592" s="1" t="s">
        <v>713</v>
      </c>
      <c r="K592" s="3" t="s">
        <v>982</v>
      </c>
      <c r="L592" s="365"/>
      <c r="M592" s="2">
        <v>0</v>
      </c>
      <c r="N592" s="311">
        <v>920</v>
      </c>
      <c r="O592" s="310" t="s">
        <v>507</v>
      </c>
      <c r="P592" s="309">
        <v>40</v>
      </c>
      <c r="Q592" s="60" t="s">
        <v>456</v>
      </c>
      <c r="R592" s="309">
        <v>5014</v>
      </c>
      <c r="S592" s="60" t="s">
        <v>211</v>
      </c>
      <c r="T592" s="61">
        <v>200</v>
      </c>
      <c r="U592" s="60" t="s">
        <v>499</v>
      </c>
      <c r="V592" s="1">
        <v>3</v>
      </c>
      <c r="W592" s="1" t="s">
        <v>1464</v>
      </c>
      <c r="X592" s="1" t="s">
        <v>1498</v>
      </c>
      <c r="Y592" s="2">
        <v>0</v>
      </c>
      <c r="Z592" s="2">
        <v>0</v>
      </c>
      <c r="AA592" s="2">
        <v>0</v>
      </c>
      <c r="AB592" s="2">
        <v>0</v>
      </c>
      <c r="AC592" s="2">
        <v>0</v>
      </c>
      <c r="AD592" s="2">
        <v>0</v>
      </c>
      <c r="AE592" s="2">
        <v>0</v>
      </c>
      <c r="AF592" s="2">
        <v>22</v>
      </c>
      <c r="AG592" s="2">
        <v>67.6</v>
      </c>
      <c r="AH592" s="2">
        <v>0</v>
      </c>
      <c r="AI592" s="2">
        <v>0</v>
      </c>
      <c r="AJ592" s="2">
        <v>0</v>
      </c>
      <c r="AK592" s="2">
        <v>0</v>
      </c>
      <c r="AL592" s="2">
        <v>0</v>
      </c>
      <c r="AM592" s="2">
        <v>0</v>
      </c>
      <c r="AN592" s="2">
        <v>0</v>
      </c>
      <c r="AO592" s="2">
        <v>0</v>
      </c>
      <c r="AP592" s="2">
        <v>0</v>
      </c>
      <c r="AQ592" s="2">
        <v>0</v>
      </c>
      <c r="AR592" s="2">
        <v>0</v>
      </c>
      <c r="AS592" s="2">
        <v>0</v>
      </c>
      <c r="AT592" s="2">
        <v>0</v>
      </c>
      <c r="AU592" s="2">
        <v>0</v>
      </c>
      <c r="AV592" s="2">
        <v>0</v>
      </c>
      <c r="AW592" s="1">
        <v>588</v>
      </c>
    </row>
    <row r="593" spans="1:49" ht="12.75">
      <c r="A593" s="5">
        <v>9920</v>
      </c>
      <c r="B593" s="2" t="s">
        <v>1499</v>
      </c>
      <c r="C593" s="305">
        <v>56066.21</v>
      </c>
      <c r="D593" s="305">
        <v>0</v>
      </c>
      <c r="E593" s="305">
        <v>54641.54</v>
      </c>
      <c r="F593" s="305">
        <v>642914.28</v>
      </c>
      <c r="G593" s="305">
        <v>0</v>
      </c>
      <c r="H593" s="305">
        <v>743468.07</v>
      </c>
      <c r="I593" s="305">
        <v>0</v>
      </c>
      <c r="J593" s="1" t="s">
        <v>599</v>
      </c>
      <c r="K593" s="3" t="s">
        <v>982</v>
      </c>
      <c r="L593" s="365"/>
      <c r="M593" s="2">
        <v>642914.28</v>
      </c>
      <c r="N593" s="311">
        <v>920</v>
      </c>
      <c r="O593" s="310" t="s">
        <v>507</v>
      </c>
      <c r="P593" s="309">
        <v>10</v>
      </c>
      <c r="Q593" s="60" t="s">
        <v>454</v>
      </c>
      <c r="R593" s="309">
        <v>1001</v>
      </c>
      <c r="S593" s="60" t="s">
        <v>455</v>
      </c>
      <c r="T593" s="61">
        <v>110</v>
      </c>
      <c r="U593" s="60" t="s">
        <v>495</v>
      </c>
      <c r="V593" s="1">
        <v>3</v>
      </c>
      <c r="W593" s="1" t="s">
        <v>1464</v>
      </c>
      <c r="X593" s="1" t="s">
        <v>1500</v>
      </c>
      <c r="Y593" s="2">
        <v>63192.76</v>
      </c>
      <c r="Z593" s="2">
        <v>60387.01</v>
      </c>
      <c r="AA593" s="2">
        <v>62495.64</v>
      </c>
      <c r="AB593" s="2">
        <v>57149.65</v>
      </c>
      <c r="AC593" s="2">
        <v>63106.66</v>
      </c>
      <c r="AD593" s="2">
        <v>65725.59</v>
      </c>
      <c r="AE593" s="2">
        <v>60707.27</v>
      </c>
      <c r="AF593" s="2">
        <v>65955.29</v>
      </c>
      <c r="AG593" s="2">
        <v>66003.74</v>
      </c>
      <c r="AH593" s="2">
        <v>64029.21</v>
      </c>
      <c r="AI593" s="2">
        <v>60073.71</v>
      </c>
      <c r="AJ593" s="2">
        <v>54641.54</v>
      </c>
      <c r="AK593" s="2">
        <v>48025.91</v>
      </c>
      <c r="AL593" s="2">
        <v>50479.31</v>
      </c>
      <c r="AM593" s="2">
        <v>52987.91</v>
      </c>
      <c r="AN593" s="2">
        <v>54836.91</v>
      </c>
      <c r="AO593" s="2">
        <v>56721.26</v>
      </c>
      <c r="AP593" s="2">
        <v>57010.65</v>
      </c>
      <c r="AQ593" s="2">
        <v>52524.03</v>
      </c>
      <c r="AR593" s="2">
        <v>52552.36</v>
      </c>
      <c r="AS593" s="2">
        <v>53135.83</v>
      </c>
      <c r="AT593" s="2">
        <v>50210.93</v>
      </c>
      <c r="AU593" s="2">
        <v>58362.97</v>
      </c>
      <c r="AV593" s="2">
        <v>56066.21</v>
      </c>
      <c r="AW593" s="1">
        <v>589</v>
      </c>
    </row>
    <row r="594" spans="1:49" ht="12.75">
      <c r="A594" s="5">
        <v>9920</v>
      </c>
      <c r="B594" s="2" t="s">
        <v>1501</v>
      </c>
      <c r="C594" s="305">
        <v>2638.23</v>
      </c>
      <c r="D594" s="305">
        <v>0</v>
      </c>
      <c r="E594" s="305">
        <v>2138.84</v>
      </c>
      <c r="F594" s="305">
        <v>27560.05</v>
      </c>
      <c r="G594" s="305">
        <v>0</v>
      </c>
      <c r="H594" s="305">
        <v>33692.67</v>
      </c>
      <c r="I594" s="305">
        <v>0</v>
      </c>
      <c r="J594" s="1" t="s">
        <v>598</v>
      </c>
      <c r="K594" s="3" t="s">
        <v>982</v>
      </c>
      <c r="L594" s="365"/>
      <c r="M594" s="2">
        <v>27560.05</v>
      </c>
      <c r="N594" s="311">
        <v>920</v>
      </c>
      <c r="O594" s="310" t="s">
        <v>507</v>
      </c>
      <c r="P594" s="309">
        <v>10</v>
      </c>
      <c r="Q594" s="60" t="s">
        <v>454</v>
      </c>
      <c r="R594" s="309">
        <v>1001</v>
      </c>
      <c r="S594" s="60" t="s">
        <v>455</v>
      </c>
      <c r="T594" s="61">
        <v>110</v>
      </c>
      <c r="U594" s="60" t="s">
        <v>495</v>
      </c>
      <c r="V594" s="1">
        <v>3</v>
      </c>
      <c r="W594" s="1" t="s">
        <v>1464</v>
      </c>
      <c r="X594" s="1" t="s">
        <v>1502</v>
      </c>
      <c r="Y594" s="2">
        <v>2563.19</v>
      </c>
      <c r="Z594" s="2">
        <v>2920.73</v>
      </c>
      <c r="AA594" s="2">
        <v>2360.66</v>
      </c>
      <c r="AB594" s="2">
        <v>2713.3</v>
      </c>
      <c r="AC594" s="2">
        <v>3236.97</v>
      </c>
      <c r="AD594" s="2">
        <v>3004.12</v>
      </c>
      <c r="AE594" s="2">
        <v>3983.52</v>
      </c>
      <c r="AF594" s="2">
        <v>2448.05</v>
      </c>
      <c r="AG594" s="2">
        <v>2827.66</v>
      </c>
      <c r="AH594" s="2">
        <v>2797.23</v>
      </c>
      <c r="AI594" s="2">
        <v>2698.4</v>
      </c>
      <c r="AJ594" s="2">
        <v>2138.84</v>
      </c>
      <c r="AK594" s="2">
        <v>2407.64</v>
      </c>
      <c r="AL594" s="2">
        <v>2067.63</v>
      </c>
      <c r="AM594" s="2">
        <v>2965.69</v>
      </c>
      <c r="AN594" s="2">
        <v>2454.57</v>
      </c>
      <c r="AO594" s="2">
        <v>2592.11</v>
      </c>
      <c r="AP594" s="2">
        <v>2337.62</v>
      </c>
      <c r="AQ594" s="2">
        <v>1756.54</v>
      </c>
      <c r="AR594" s="2">
        <v>2062.69</v>
      </c>
      <c r="AS594" s="2">
        <v>1982.17</v>
      </c>
      <c r="AT594" s="2">
        <v>2031.22</v>
      </c>
      <c r="AU594" s="2">
        <v>2263.94</v>
      </c>
      <c r="AV594" s="2">
        <v>2638.23</v>
      </c>
      <c r="AW594" s="1">
        <v>590</v>
      </c>
    </row>
    <row r="595" spans="1:49" ht="12.75">
      <c r="A595" s="5">
        <v>9920</v>
      </c>
      <c r="B595" s="2" t="s">
        <v>1503</v>
      </c>
      <c r="C595" s="305">
        <v>10913.16</v>
      </c>
      <c r="D595" s="305">
        <v>0</v>
      </c>
      <c r="E595" s="305">
        <v>11616.8</v>
      </c>
      <c r="F595" s="305">
        <v>283762.94</v>
      </c>
      <c r="G595" s="305">
        <v>0</v>
      </c>
      <c r="H595" s="305">
        <v>395613.87</v>
      </c>
      <c r="I595" s="305">
        <v>0</v>
      </c>
      <c r="J595" s="1" t="s">
        <v>600</v>
      </c>
      <c r="K595" s="3" t="s">
        <v>982</v>
      </c>
      <c r="L595" s="365"/>
      <c r="M595" s="2">
        <v>283762.94</v>
      </c>
      <c r="N595" s="311">
        <v>920</v>
      </c>
      <c r="O595" s="310" t="s">
        <v>507</v>
      </c>
      <c r="P595" s="309">
        <v>10</v>
      </c>
      <c r="Q595" s="60" t="s">
        <v>454</v>
      </c>
      <c r="R595" s="309">
        <v>1001</v>
      </c>
      <c r="S595" s="60" t="s">
        <v>455</v>
      </c>
      <c r="T595" s="61">
        <v>110</v>
      </c>
      <c r="U595" s="60" t="s">
        <v>495</v>
      </c>
      <c r="V595" s="1">
        <v>3</v>
      </c>
      <c r="W595" s="1" t="s">
        <v>1464</v>
      </c>
      <c r="X595" s="1" t="s">
        <v>1504</v>
      </c>
      <c r="Y595" s="2">
        <v>17377.93</v>
      </c>
      <c r="Z595" s="2">
        <v>13539.68</v>
      </c>
      <c r="AA595" s="2">
        <v>30301.14</v>
      </c>
      <c r="AB595" s="2">
        <v>27427.99</v>
      </c>
      <c r="AC595" s="2">
        <v>40545.46</v>
      </c>
      <c r="AD595" s="2">
        <v>55069.11</v>
      </c>
      <c r="AE595" s="2">
        <v>99233.51</v>
      </c>
      <c r="AF595" s="2">
        <v>46598.15</v>
      </c>
      <c r="AG595" s="2">
        <v>21562.86</v>
      </c>
      <c r="AH595" s="2">
        <v>16347.18</v>
      </c>
      <c r="AI595" s="2">
        <v>15994.06</v>
      </c>
      <c r="AJ595" s="2">
        <v>11616.8</v>
      </c>
      <c r="AK595" s="2">
        <v>9971.78</v>
      </c>
      <c r="AL595" s="2">
        <v>9281.73</v>
      </c>
      <c r="AM595" s="2">
        <v>19199.18</v>
      </c>
      <c r="AN595" s="2">
        <v>20853.84</v>
      </c>
      <c r="AO595" s="2">
        <v>21161.36</v>
      </c>
      <c r="AP595" s="2">
        <v>34885.31</v>
      </c>
      <c r="AQ595" s="2">
        <v>75083.21</v>
      </c>
      <c r="AR595" s="2">
        <v>35301.29</v>
      </c>
      <c r="AS595" s="2">
        <v>21655.89</v>
      </c>
      <c r="AT595" s="2">
        <v>16337.56</v>
      </c>
      <c r="AU595" s="2">
        <v>9118.63</v>
      </c>
      <c r="AV595" s="2">
        <v>10913.16</v>
      </c>
      <c r="AW595" s="1">
        <v>591</v>
      </c>
    </row>
    <row r="596" spans="1:49" ht="12.75">
      <c r="A596" s="5">
        <v>9920</v>
      </c>
      <c r="B596" s="2" t="s">
        <v>1505</v>
      </c>
      <c r="C596" s="305">
        <v>362</v>
      </c>
      <c r="D596" s="305">
        <v>0</v>
      </c>
      <c r="E596" s="305">
        <v>483</v>
      </c>
      <c r="F596" s="305">
        <v>6306.68</v>
      </c>
      <c r="G596" s="305">
        <v>0</v>
      </c>
      <c r="H596" s="305">
        <v>1900</v>
      </c>
      <c r="I596" s="305">
        <v>0</v>
      </c>
      <c r="J596" s="1" t="s">
        <v>715</v>
      </c>
      <c r="K596" s="3" t="s">
        <v>982</v>
      </c>
      <c r="L596" s="365"/>
      <c r="M596" s="2">
        <v>6306.68</v>
      </c>
      <c r="N596" s="311">
        <v>920</v>
      </c>
      <c r="O596" s="310" t="s">
        <v>507</v>
      </c>
      <c r="P596" s="309">
        <v>40</v>
      </c>
      <c r="Q596" s="60" t="s">
        <v>456</v>
      </c>
      <c r="R596" s="309">
        <v>5027</v>
      </c>
      <c r="S596" s="60" t="s">
        <v>206</v>
      </c>
      <c r="T596" s="61">
        <v>160</v>
      </c>
      <c r="U596" s="60" t="s">
        <v>716</v>
      </c>
      <c r="V596" s="1">
        <v>3</v>
      </c>
      <c r="W596" s="1" t="s">
        <v>1464</v>
      </c>
      <c r="X596" s="1" t="s">
        <v>1506</v>
      </c>
      <c r="Y596" s="2">
        <v>0</v>
      </c>
      <c r="Z596" s="2">
        <v>0</v>
      </c>
      <c r="AA596" s="2">
        <v>0</v>
      </c>
      <c r="AB596" s="2">
        <v>0</v>
      </c>
      <c r="AC596" s="2">
        <v>0</v>
      </c>
      <c r="AD596" s="2">
        <v>0</v>
      </c>
      <c r="AE596" s="2">
        <v>0</v>
      </c>
      <c r="AF596" s="2">
        <v>0</v>
      </c>
      <c r="AG596" s="2">
        <v>0</v>
      </c>
      <c r="AH596" s="2">
        <v>839</v>
      </c>
      <c r="AI596" s="2">
        <v>578</v>
      </c>
      <c r="AJ596" s="2">
        <v>483</v>
      </c>
      <c r="AK596" s="2">
        <v>499</v>
      </c>
      <c r="AL596" s="2">
        <v>550</v>
      </c>
      <c r="AM596" s="2">
        <v>532</v>
      </c>
      <c r="AN596" s="2">
        <v>600.68</v>
      </c>
      <c r="AO596" s="2">
        <v>608</v>
      </c>
      <c r="AP596" s="2">
        <v>549</v>
      </c>
      <c r="AQ596" s="2">
        <v>489</v>
      </c>
      <c r="AR596" s="2">
        <v>509</v>
      </c>
      <c r="AS596" s="2">
        <v>557</v>
      </c>
      <c r="AT596" s="2">
        <v>537</v>
      </c>
      <c r="AU596" s="2">
        <v>514</v>
      </c>
      <c r="AV596" s="2">
        <v>362</v>
      </c>
      <c r="AW596" s="1">
        <v>592</v>
      </c>
    </row>
    <row r="597" spans="1:49" ht="12.75">
      <c r="A597" s="5">
        <v>9920</v>
      </c>
      <c r="B597" s="2" t="s">
        <v>1507</v>
      </c>
      <c r="C597" s="305">
        <v>444</v>
      </c>
      <c r="D597" s="305">
        <v>0</v>
      </c>
      <c r="E597" s="305">
        <v>493</v>
      </c>
      <c r="F597" s="305">
        <v>6876</v>
      </c>
      <c r="G597" s="305">
        <v>0</v>
      </c>
      <c r="H597" s="305">
        <v>2022</v>
      </c>
      <c r="I597" s="305">
        <v>0</v>
      </c>
      <c r="J597" s="1" t="s">
        <v>718</v>
      </c>
      <c r="K597" s="3" t="s">
        <v>982</v>
      </c>
      <c r="L597" s="365"/>
      <c r="M597" s="2">
        <v>6876</v>
      </c>
      <c r="N597" s="311">
        <v>920</v>
      </c>
      <c r="O597" s="310" t="s">
        <v>507</v>
      </c>
      <c r="P597" s="309">
        <v>40</v>
      </c>
      <c r="Q597" s="60" t="s">
        <v>456</v>
      </c>
      <c r="R597" s="309">
        <v>5027</v>
      </c>
      <c r="S597" s="60" t="s">
        <v>206</v>
      </c>
      <c r="T597" s="61">
        <v>160</v>
      </c>
      <c r="U597" s="60" t="s">
        <v>716</v>
      </c>
      <c r="V597" s="1">
        <v>3</v>
      </c>
      <c r="W597" s="1" t="s">
        <v>1464</v>
      </c>
      <c r="X597" s="1" t="s">
        <v>1506</v>
      </c>
      <c r="Y597" s="2">
        <v>0</v>
      </c>
      <c r="Z597" s="2">
        <v>0</v>
      </c>
      <c r="AA597" s="2">
        <v>0</v>
      </c>
      <c r="AB597" s="2">
        <v>0</v>
      </c>
      <c r="AC597" s="2">
        <v>0</v>
      </c>
      <c r="AD597" s="2">
        <v>0</v>
      </c>
      <c r="AE597" s="2">
        <v>0</v>
      </c>
      <c r="AF597" s="2">
        <v>0</v>
      </c>
      <c r="AG597" s="2">
        <v>0</v>
      </c>
      <c r="AH597" s="2">
        <v>931</v>
      </c>
      <c r="AI597" s="2">
        <v>598</v>
      </c>
      <c r="AJ597" s="2">
        <v>493</v>
      </c>
      <c r="AK597" s="2">
        <v>553</v>
      </c>
      <c r="AL597" s="2">
        <v>571</v>
      </c>
      <c r="AM597" s="2">
        <v>611</v>
      </c>
      <c r="AN597" s="2">
        <v>583</v>
      </c>
      <c r="AO597" s="2">
        <v>750</v>
      </c>
      <c r="AP597" s="2">
        <v>663</v>
      </c>
      <c r="AQ597" s="2">
        <v>523</v>
      </c>
      <c r="AR597" s="2">
        <v>540</v>
      </c>
      <c r="AS597" s="2">
        <v>502</v>
      </c>
      <c r="AT597" s="2">
        <v>576</v>
      </c>
      <c r="AU597" s="2">
        <v>560</v>
      </c>
      <c r="AV597" s="2">
        <v>444</v>
      </c>
      <c r="AW597" s="1">
        <v>593</v>
      </c>
    </row>
    <row r="598" spans="1:49" ht="12.75">
      <c r="A598" s="5">
        <v>9920</v>
      </c>
      <c r="B598" s="2" t="s">
        <v>1508</v>
      </c>
      <c r="C598" s="305">
        <v>146</v>
      </c>
      <c r="D598" s="305">
        <v>0</v>
      </c>
      <c r="E598" s="305">
        <v>161</v>
      </c>
      <c r="F598" s="305">
        <v>2163</v>
      </c>
      <c r="G598" s="305">
        <v>0</v>
      </c>
      <c r="H598" s="305">
        <v>512</v>
      </c>
      <c r="I598" s="305">
        <v>0</v>
      </c>
      <c r="J598" s="1" t="s">
        <v>720</v>
      </c>
      <c r="K598" s="3" t="s">
        <v>982</v>
      </c>
      <c r="L598" s="365"/>
      <c r="M598" s="2">
        <v>2163</v>
      </c>
      <c r="N598" s="311">
        <v>920</v>
      </c>
      <c r="O598" s="310" t="s">
        <v>507</v>
      </c>
      <c r="P598" s="309">
        <v>40</v>
      </c>
      <c r="Q598" s="60" t="s">
        <v>456</v>
      </c>
      <c r="R598" s="309">
        <v>5027</v>
      </c>
      <c r="S598" s="60" t="s">
        <v>206</v>
      </c>
      <c r="T598" s="61">
        <v>160</v>
      </c>
      <c r="U598" s="60" t="s">
        <v>716</v>
      </c>
      <c r="V598" s="1">
        <v>3</v>
      </c>
      <c r="W598" s="1" t="s">
        <v>1464</v>
      </c>
      <c r="X598" s="1" t="s">
        <v>1509</v>
      </c>
      <c r="Y598" s="2">
        <v>0</v>
      </c>
      <c r="Z598" s="2">
        <v>0</v>
      </c>
      <c r="AA598" s="2">
        <v>0</v>
      </c>
      <c r="AB598" s="2">
        <v>0</v>
      </c>
      <c r="AC598" s="2">
        <v>0</v>
      </c>
      <c r="AD598" s="2">
        <v>0</v>
      </c>
      <c r="AE598" s="2">
        <v>0</v>
      </c>
      <c r="AF598" s="2">
        <v>0</v>
      </c>
      <c r="AG598" s="2">
        <v>0</v>
      </c>
      <c r="AH598" s="2">
        <v>186</v>
      </c>
      <c r="AI598" s="2">
        <v>165</v>
      </c>
      <c r="AJ598" s="2">
        <v>161</v>
      </c>
      <c r="AK598" s="2">
        <v>173</v>
      </c>
      <c r="AL598" s="2">
        <v>141</v>
      </c>
      <c r="AM598" s="2">
        <v>139</v>
      </c>
      <c r="AN598" s="2">
        <v>251</v>
      </c>
      <c r="AO598" s="2">
        <v>245</v>
      </c>
      <c r="AP598" s="2">
        <v>271</v>
      </c>
      <c r="AQ598" s="2">
        <v>187</v>
      </c>
      <c r="AR598" s="2">
        <v>184</v>
      </c>
      <c r="AS598" s="2">
        <v>155</v>
      </c>
      <c r="AT598" s="2">
        <v>154</v>
      </c>
      <c r="AU598" s="2">
        <v>117</v>
      </c>
      <c r="AV598" s="2">
        <v>146</v>
      </c>
      <c r="AW598" s="1">
        <v>594</v>
      </c>
    </row>
    <row r="599" spans="1:49" ht="12.75">
      <c r="A599" s="5">
        <v>9920</v>
      </c>
      <c r="B599" s="2" t="s">
        <v>1510</v>
      </c>
      <c r="C599" s="305">
        <v>103.2</v>
      </c>
      <c r="D599" s="305">
        <v>0</v>
      </c>
      <c r="E599" s="305">
        <v>145.57</v>
      </c>
      <c r="F599" s="305">
        <v>1453.9</v>
      </c>
      <c r="G599" s="305">
        <v>0</v>
      </c>
      <c r="H599" s="305">
        <v>489.69</v>
      </c>
      <c r="I599" s="305">
        <v>0</v>
      </c>
      <c r="J599" s="1" t="s">
        <v>722</v>
      </c>
      <c r="K599" s="3" t="s">
        <v>982</v>
      </c>
      <c r="L599" s="365"/>
      <c r="M599" s="2">
        <v>1453.9</v>
      </c>
      <c r="N599" s="311">
        <v>920</v>
      </c>
      <c r="O599" s="310" t="s">
        <v>507</v>
      </c>
      <c r="P599" s="309">
        <v>40</v>
      </c>
      <c r="Q599" s="60" t="s">
        <v>456</v>
      </c>
      <c r="R599" s="309">
        <v>5027</v>
      </c>
      <c r="S599" s="60" t="s">
        <v>206</v>
      </c>
      <c r="T599" s="61">
        <v>160</v>
      </c>
      <c r="U599" s="60" t="s">
        <v>716</v>
      </c>
      <c r="V599" s="1">
        <v>3</v>
      </c>
      <c r="W599" s="1" t="s">
        <v>1464</v>
      </c>
      <c r="X599" s="1" t="s">
        <v>1506</v>
      </c>
      <c r="Y599" s="2">
        <v>0</v>
      </c>
      <c r="Z599" s="2">
        <v>0</v>
      </c>
      <c r="AA599" s="2">
        <v>0</v>
      </c>
      <c r="AB599" s="2">
        <v>0</v>
      </c>
      <c r="AC599" s="2">
        <v>0</v>
      </c>
      <c r="AD599" s="2">
        <v>0</v>
      </c>
      <c r="AE599" s="2">
        <v>0</v>
      </c>
      <c r="AF599" s="2">
        <v>0</v>
      </c>
      <c r="AG599" s="2">
        <v>0</v>
      </c>
      <c r="AH599" s="2">
        <v>212.43</v>
      </c>
      <c r="AI599" s="2">
        <v>131.69</v>
      </c>
      <c r="AJ599" s="2">
        <v>145.57</v>
      </c>
      <c r="AK599" s="2">
        <v>158.19</v>
      </c>
      <c r="AL599" s="2">
        <v>119.87</v>
      </c>
      <c r="AM599" s="2">
        <v>142.96</v>
      </c>
      <c r="AN599" s="2">
        <v>184.94</v>
      </c>
      <c r="AO599" s="2">
        <v>95.76</v>
      </c>
      <c r="AP599" s="2">
        <v>130.9</v>
      </c>
      <c r="AQ599" s="2">
        <v>120.83</v>
      </c>
      <c r="AR599" s="2">
        <v>98.39</v>
      </c>
      <c r="AS599" s="2">
        <v>90.13</v>
      </c>
      <c r="AT599" s="2">
        <v>118.18</v>
      </c>
      <c r="AU599" s="2">
        <v>90.55</v>
      </c>
      <c r="AV599" s="2">
        <v>103.2</v>
      </c>
      <c r="AW599" s="1">
        <v>595</v>
      </c>
    </row>
    <row r="600" spans="1:49" ht="12.75">
      <c r="A600" s="5">
        <v>9920</v>
      </c>
      <c r="B600" s="2" t="s">
        <v>1511</v>
      </c>
      <c r="C600" s="305">
        <v>101</v>
      </c>
      <c r="D600" s="305">
        <v>0</v>
      </c>
      <c r="E600" s="305">
        <v>146</v>
      </c>
      <c r="F600" s="305">
        <v>15682</v>
      </c>
      <c r="G600" s="305">
        <v>0</v>
      </c>
      <c r="H600" s="305">
        <v>625</v>
      </c>
      <c r="I600" s="305">
        <v>0</v>
      </c>
      <c r="J600" s="1" t="s">
        <v>724</v>
      </c>
      <c r="K600" s="3" t="s">
        <v>982</v>
      </c>
      <c r="L600" s="365"/>
      <c r="M600" s="2">
        <v>15682</v>
      </c>
      <c r="N600" s="311">
        <v>920</v>
      </c>
      <c r="O600" s="310" t="s">
        <v>507</v>
      </c>
      <c r="P600" s="309">
        <v>40</v>
      </c>
      <c r="Q600" s="60" t="s">
        <v>456</v>
      </c>
      <c r="R600" s="309">
        <v>5027</v>
      </c>
      <c r="S600" s="60" t="s">
        <v>206</v>
      </c>
      <c r="T600" s="61">
        <v>160</v>
      </c>
      <c r="U600" s="60" t="s">
        <v>716</v>
      </c>
      <c r="V600" s="1">
        <v>3</v>
      </c>
      <c r="W600" s="1" t="s">
        <v>1464</v>
      </c>
      <c r="X600" s="1" t="s">
        <v>1512</v>
      </c>
      <c r="Y600" s="2">
        <v>0</v>
      </c>
      <c r="Z600" s="2">
        <v>0</v>
      </c>
      <c r="AA600" s="2">
        <v>0</v>
      </c>
      <c r="AB600" s="2">
        <v>0</v>
      </c>
      <c r="AC600" s="2">
        <v>0</v>
      </c>
      <c r="AD600" s="2">
        <v>0</v>
      </c>
      <c r="AE600" s="2">
        <v>0</v>
      </c>
      <c r="AF600" s="2">
        <v>0</v>
      </c>
      <c r="AG600" s="2">
        <v>0</v>
      </c>
      <c r="AH600" s="2">
        <v>297</v>
      </c>
      <c r="AI600" s="2">
        <v>182</v>
      </c>
      <c r="AJ600" s="2">
        <v>146</v>
      </c>
      <c r="AK600" s="2">
        <v>183</v>
      </c>
      <c r="AL600" s="2">
        <v>150</v>
      </c>
      <c r="AM600" s="2">
        <v>409</v>
      </c>
      <c r="AN600" s="2">
        <v>1985</v>
      </c>
      <c r="AO600" s="2">
        <v>2808</v>
      </c>
      <c r="AP600" s="2">
        <v>3233</v>
      </c>
      <c r="AQ600" s="2">
        <v>2329</v>
      </c>
      <c r="AR600" s="2">
        <v>2368</v>
      </c>
      <c r="AS600" s="2">
        <v>1570</v>
      </c>
      <c r="AT600" s="2">
        <v>385</v>
      </c>
      <c r="AU600" s="2">
        <v>161</v>
      </c>
      <c r="AV600" s="2">
        <v>101</v>
      </c>
      <c r="AW600" s="1">
        <v>596</v>
      </c>
    </row>
    <row r="601" spans="1:49" ht="12.75">
      <c r="A601" s="5">
        <v>9920</v>
      </c>
      <c r="B601" s="2" t="s">
        <v>1513</v>
      </c>
      <c r="C601" s="305">
        <v>13</v>
      </c>
      <c r="D601" s="305">
        <v>0</v>
      </c>
      <c r="E601" s="305">
        <v>26</v>
      </c>
      <c r="F601" s="305">
        <v>63</v>
      </c>
      <c r="G601" s="305">
        <v>0</v>
      </c>
      <c r="H601" s="305">
        <v>72</v>
      </c>
      <c r="I601" s="305">
        <v>0</v>
      </c>
      <c r="J601" s="1" t="s">
        <v>726</v>
      </c>
      <c r="K601" s="3" t="s">
        <v>982</v>
      </c>
      <c r="L601" s="365"/>
      <c r="M601" s="2">
        <v>63</v>
      </c>
      <c r="N601" s="311">
        <v>920</v>
      </c>
      <c r="O601" s="310" t="s">
        <v>507</v>
      </c>
      <c r="P601" s="309">
        <v>40</v>
      </c>
      <c r="Q601" s="60" t="s">
        <v>456</v>
      </c>
      <c r="R601" s="309">
        <v>5027</v>
      </c>
      <c r="S601" s="60" t="s">
        <v>206</v>
      </c>
      <c r="T601" s="61">
        <v>160</v>
      </c>
      <c r="U601" s="60" t="s">
        <v>716</v>
      </c>
      <c r="V601" s="1">
        <v>3</v>
      </c>
      <c r="W601" s="1" t="s">
        <v>1464</v>
      </c>
      <c r="X601" s="1" t="s">
        <v>1506</v>
      </c>
      <c r="Y601" s="2">
        <v>0</v>
      </c>
      <c r="Z601" s="2">
        <v>0</v>
      </c>
      <c r="AA601" s="2">
        <v>0</v>
      </c>
      <c r="AB601" s="2">
        <v>0</v>
      </c>
      <c r="AC601" s="2">
        <v>0</v>
      </c>
      <c r="AD601" s="2">
        <v>0</v>
      </c>
      <c r="AE601" s="2">
        <v>0</v>
      </c>
      <c r="AF601" s="2">
        <v>0</v>
      </c>
      <c r="AG601" s="2">
        <v>0</v>
      </c>
      <c r="AH601" s="2">
        <v>11</v>
      </c>
      <c r="AI601" s="2">
        <v>35</v>
      </c>
      <c r="AJ601" s="2">
        <v>26</v>
      </c>
      <c r="AK601" s="2">
        <v>25</v>
      </c>
      <c r="AL601" s="2">
        <v>12</v>
      </c>
      <c r="AM601" s="2">
        <v>12</v>
      </c>
      <c r="AN601" s="2">
        <v>1</v>
      </c>
      <c r="AO601" s="2">
        <v>0</v>
      </c>
      <c r="AP601" s="2">
        <v>0</v>
      </c>
      <c r="AQ601" s="2">
        <v>0</v>
      </c>
      <c r="AR601" s="2">
        <v>0</v>
      </c>
      <c r="AS601" s="2">
        <v>0</v>
      </c>
      <c r="AT601" s="2">
        <v>0</v>
      </c>
      <c r="AU601" s="2">
        <v>0</v>
      </c>
      <c r="AV601" s="2">
        <v>13</v>
      </c>
      <c r="AW601" s="1">
        <v>597</v>
      </c>
    </row>
    <row r="602" spans="1:49" ht="12.75">
      <c r="A602" s="5">
        <v>9920</v>
      </c>
      <c r="B602" s="2" t="s">
        <v>1514</v>
      </c>
      <c r="C602" s="305">
        <v>353</v>
      </c>
      <c r="D602" s="305">
        <v>0</v>
      </c>
      <c r="E602" s="305">
        <v>416.75</v>
      </c>
      <c r="F602" s="305">
        <v>3828.84</v>
      </c>
      <c r="G602" s="305">
        <v>0</v>
      </c>
      <c r="H602" s="305">
        <v>1015.75</v>
      </c>
      <c r="I602" s="305">
        <v>0</v>
      </c>
      <c r="J602" s="1" t="s">
        <v>728</v>
      </c>
      <c r="K602" s="3" t="s">
        <v>982</v>
      </c>
      <c r="L602" s="365"/>
      <c r="M602" s="2">
        <v>3828.84</v>
      </c>
      <c r="N602" s="311">
        <v>920</v>
      </c>
      <c r="O602" s="310" t="s">
        <v>507</v>
      </c>
      <c r="P602" s="309">
        <v>40</v>
      </c>
      <c r="Q602" s="60" t="s">
        <v>456</v>
      </c>
      <c r="R602" s="309">
        <v>5029</v>
      </c>
      <c r="S602" s="60" t="s">
        <v>208</v>
      </c>
      <c r="T602" s="61">
        <v>170</v>
      </c>
      <c r="U602" s="60" t="s">
        <v>501</v>
      </c>
      <c r="V602" s="1">
        <v>3</v>
      </c>
      <c r="W602" s="1" t="s">
        <v>1464</v>
      </c>
      <c r="X602" s="1" t="s">
        <v>1515</v>
      </c>
      <c r="Y602" s="2">
        <v>0</v>
      </c>
      <c r="Z602" s="2">
        <v>0</v>
      </c>
      <c r="AA602" s="2">
        <v>0</v>
      </c>
      <c r="AB602" s="2">
        <v>0</v>
      </c>
      <c r="AC602" s="2">
        <v>0</v>
      </c>
      <c r="AD602" s="2">
        <v>0</v>
      </c>
      <c r="AE602" s="2">
        <v>0</v>
      </c>
      <c r="AF602" s="2">
        <v>0</v>
      </c>
      <c r="AG602" s="2">
        <v>0</v>
      </c>
      <c r="AH602" s="2">
        <v>300</v>
      </c>
      <c r="AI602" s="2">
        <v>299</v>
      </c>
      <c r="AJ602" s="2">
        <v>416.75</v>
      </c>
      <c r="AK602" s="2">
        <v>323</v>
      </c>
      <c r="AL602" s="2">
        <v>312</v>
      </c>
      <c r="AM602" s="2">
        <v>232</v>
      </c>
      <c r="AN602" s="2">
        <v>668.2</v>
      </c>
      <c r="AO602" s="2">
        <v>381</v>
      </c>
      <c r="AP602" s="2">
        <v>392</v>
      </c>
      <c r="AQ602" s="2">
        <v>280</v>
      </c>
      <c r="AR602" s="2">
        <v>247</v>
      </c>
      <c r="AS602" s="2">
        <v>210.1</v>
      </c>
      <c r="AT602" s="2">
        <v>238.54</v>
      </c>
      <c r="AU602" s="2">
        <v>192</v>
      </c>
      <c r="AV602" s="2">
        <v>353</v>
      </c>
      <c r="AW602" s="1">
        <v>598</v>
      </c>
    </row>
    <row r="603" spans="1:49" ht="12.75">
      <c r="A603" s="5">
        <v>9920</v>
      </c>
      <c r="B603" s="2" t="s">
        <v>1516</v>
      </c>
      <c r="C603" s="305">
        <v>94</v>
      </c>
      <c r="D603" s="305">
        <v>0</v>
      </c>
      <c r="E603" s="305">
        <v>118</v>
      </c>
      <c r="F603" s="305">
        <v>844</v>
      </c>
      <c r="G603" s="305">
        <v>0</v>
      </c>
      <c r="H603" s="305">
        <v>255</v>
      </c>
      <c r="I603" s="305">
        <v>0</v>
      </c>
      <c r="J603" s="1" t="s">
        <v>730</v>
      </c>
      <c r="K603" s="3" t="s">
        <v>982</v>
      </c>
      <c r="L603" s="365"/>
      <c r="M603" s="2">
        <v>844</v>
      </c>
      <c r="N603" s="311">
        <v>920</v>
      </c>
      <c r="O603" s="310" t="s">
        <v>507</v>
      </c>
      <c r="P603" s="309">
        <v>40</v>
      </c>
      <c r="Q603" s="60" t="s">
        <v>456</v>
      </c>
      <c r="R603" s="309">
        <v>5028</v>
      </c>
      <c r="S603" s="60" t="s">
        <v>207</v>
      </c>
      <c r="T603" s="61">
        <v>170</v>
      </c>
      <c r="U603" s="60" t="s">
        <v>501</v>
      </c>
      <c r="V603" s="1">
        <v>3</v>
      </c>
      <c r="W603" s="1" t="s">
        <v>1464</v>
      </c>
      <c r="X603" s="1" t="s">
        <v>1517</v>
      </c>
      <c r="Y603" s="2">
        <v>0</v>
      </c>
      <c r="Z603" s="2">
        <v>0</v>
      </c>
      <c r="AA603" s="2">
        <v>0</v>
      </c>
      <c r="AB603" s="2">
        <v>0</v>
      </c>
      <c r="AC603" s="2">
        <v>0</v>
      </c>
      <c r="AD603" s="2">
        <v>0</v>
      </c>
      <c r="AE603" s="2">
        <v>0</v>
      </c>
      <c r="AF603" s="2">
        <v>0</v>
      </c>
      <c r="AG603" s="2">
        <v>0</v>
      </c>
      <c r="AH603" s="2">
        <v>70</v>
      </c>
      <c r="AI603" s="2">
        <v>67</v>
      </c>
      <c r="AJ603" s="2">
        <v>118</v>
      </c>
      <c r="AK603" s="2">
        <v>64</v>
      </c>
      <c r="AL603" s="2">
        <v>123</v>
      </c>
      <c r="AM603" s="2">
        <v>52</v>
      </c>
      <c r="AN603" s="2">
        <v>114</v>
      </c>
      <c r="AO603" s="2">
        <v>98</v>
      </c>
      <c r="AP603" s="2">
        <v>68</v>
      </c>
      <c r="AQ603" s="2">
        <v>59</v>
      </c>
      <c r="AR603" s="2">
        <v>40</v>
      </c>
      <c r="AS603" s="2">
        <v>34</v>
      </c>
      <c r="AT603" s="2">
        <v>37</v>
      </c>
      <c r="AU603" s="2">
        <v>61</v>
      </c>
      <c r="AV603" s="2">
        <v>94</v>
      </c>
      <c r="AW603" s="1">
        <v>599</v>
      </c>
    </row>
    <row r="604" spans="1:49" ht="12.75">
      <c r="A604" s="5">
        <v>9920</v>
      </c>
      <c r="B604" s="2" t="s">
        <v>1518</v>
      </c>
      <c r="C604" s="305">
        <v>66</v>
      </c>
      <c r="D604" s="305">
        <v>0</v>
      </c>
      <c r="E604" s="305">
        <v>204</v>
      </c>
      <c r="F604" s="305">
        <v>1151</v>
      </c>
      <c r="G604" s="305">
        <v>0</v>
      </c>
      <c r="H604" s="305">
        <v>391</v>
      </c>
      <c r="I604" s="305">
        <v>0</v>
      </c>
      <c r="J604" s="1" t="s">
        <v>732</v>
      </c>
      <c r="K604" s="3" t="s">
        <v>982</v>
      </c>
      <c r="L604" s="365"/>
      <c r="M604" s="2">
        <v>1151</v>
      </c>
      <c r="N604" s="311">
        <v>920</v>
      </c>
      <c r="O604" s="310" t="s">
        <v>507</v>
      </c>
      <c r="P604" s="309">
        <v>40</v>
      </c>
      <c r="Q604" s="60" t="s">
        <v>456</v>
      </c>
      <c r="R604" s="309">
        <v>5028</v>
      </c>
      <c r="S604" s="60" t="s">
        <v>207</v>
      </c>
      <c r="T604" s="61">
        <v>170</v>
      </c>
      <c r="U604" s="60" t="s">
        <v>501</v>
      </c>
      <c r="V604" s="1">
        <v>3</v>
      </c>
      <c r="W604" s="1" t="s">
        <v>1464</v>
      </c>
      <c r="X604" s="1" t="s">
        <v>1519</v>
      </c>
      <c r="Y604" s="2">
        <v>0</v>
      </c>
      <c r="Z604" s="2">
        <v>0</v>
      </c>
      <c r="AA604" s="2">
        <v>0</v>
      </c>
      <c r="AB604" s="2">
        <v>0</v>
      </c>
      <c r="AC604" s="2">
        <v>0</v>
      </c>
      <c r="AD604" s="2">
        <v>0</v>
      </c>
      <c r="AE604" s="2">
        <v>0</v>
      </c>
      <c r="AF604" s="2">
        <v>0</v>
      </c>
      <c r="AG604" s="2">
        <v>0</v>
      </c>
      <c r="AH604" s="2">
        <v>85</v>
      </c>
      <c r="AI604" s="2">
        <v>102</v>
      </c>
      <c r="AJ604" s="2">
        <v>204</v>
      </c>
      <c r="AK604" s="2">
        <v>193</v>
      </c>
      <c r="AL604" s="2">
        <v>164</v>
      </c>
      <c r="AM604" s="2">
        <v>127</v>
      </c>
      <c r="AN604" s="2">
        <v>109</v>
      </c>
      <c r="AO604" s="2">
        <v>104</v>
      </c>
      <c r="AP604" s="2">
        <v>72</v>
      </c>
      <c r="AQ604" s="2">
        <v>59</v>
      </c>
      <c r="AR604" s="2">
        <v>57</v>
      </c>
      <c r="AS604" s="2">
        <v>70</v>
      </c>
      <c r="AT604" s="2">
        <v>59</v>
      </c>
      <c r="AU604" s="2">
        <v>71</v>
      </c>
      <c r="AV604" s="2">
        <v>66</v>
      </c>
      <c r="AW604" s="1">
        <v>600</v>
      </c>
    </row>
    <row r="605" spans="1:49" ht="12.75">
      <c r="A605" s="5">
        <v>9920</v>
      </c>
      <c r="B605" s="2" t="s">
        <v>1520</v>
      </c>
      <c r="C605" s="305">
        <v>6</v>
      </c>
      <c r="D605" s="305">
        <v>0</v>
      </c>
      <c r="E605" s="305">
        <v>11</v>
      </c>
      <c r="F605" s="305">
        <v>154</v>
      </c>
      <c r="G605" s="305">
        <v>0</v>
      </c>
      <c r="H605" s="305">
        <v>38</v>
      </c>
      <c r="I605" s="305">
        <v>0</v>
      </c>
      <c r="J605" s="1" t="s">
        <v>734</v>
      </c>
      <c r="K605" s="3" t="s">
        <v>982</v>
      </c>
      <c r="L605" s="365"/>
      <c r="M605" s="2">
        <v>154</v>
      </c>
      <c r="N605" s="311">
        <v>920</v>
      </c>
      <c r="O605" s="310" t="s">
        <v>507</v>
      </c>
      <c r="P605" s="309">
        <v>40</v>
      </c>
      <c r="Q605" s="60" t="s">
        <v>456</v>
      </c>
      <c r="R605" s="309">
        <v>5020</v>
      </c>
      <c r="S605" s="60" t="s">
        <v>205</v>
      </c>
      <c r="T605" s="61">
        <v>170</v>
      </c>
      <c r="U605" s="60" t="s">
        <v>501</v>
      </c>
      <c r="V605" s="1">
        <v>3</v>
      </c>
      <c r="W605" s="1" t="s">
        <v>1464</v>
      </c>
      <c r="X605" s="1" t="s">
        <v>1521</v>
      </c>
      <c r="Y605" s="2">
        <v>0</v>
      </c>
      <c r="Z605" s="2">
        <v>0</v>
      </c>
      <c r="AA605" s="2">
        <v>0</v>
      </c>
      <c r="AB605" s="2">
        <v>0</v>
      </c>
      <c r="AC605" s="2">
        <v>0</v>
      </c>
      <c r="AD605" s="2">
        <v>0</v>
      </c>
      <c r="AE605" s="2">
        <v>0</v>
      </c>
      <c r="AF605" s="2">
        <v>0</v>
      </c>
      <c r="AG605" s="2">
        <v>0</v>
      </c>
      <c r="AH605" s="2">
        <v>15</v>
      </c>
      <c r="AI605" s="2">
        <v>12</v>
      </c>
      <c r="AJ605" s="2">
        <v>11</v>
      </c>
      <c r="AK605" s="2">
        <v>10</v>
      </c>
      <c r="AL605" s="2">
        <v>4</v>
      </c>
      <c r="AM605" s="2">
        <v>18</v>
      </c>
      <c r="AN605" s="2">
        <v>15</v>
      </c>
      <c r="AO605" s="2">
        <v>13</v>
      </c>
      <c r="AP605" s="2">
        <v>20</v>
      </c>
      <c r="AQ605" s="2">
        <v>15</v>
      </c>
      <c r="AR605" s="2">
        <v>16</v>
      </c>
      <c r="AS605" s="2">
        <v>12</v>
      </c>
      <c r="AT605" s="2">
        <v>10</v>
      </c>
      <c r="AU605" s="2">
        <v>15</v>
      </c>
      <c r="AV605" s="2">
        <v>6</v>
      </c>
      <c r="AW605" s="1">
        <v>601</v>
      </c>
    </row>
    <row r="606" spans="1:49" ht="12.75">
      <c r="A606" s="5">
        <v>9920</v>
      </c>
      <c r="B606" s="2" t="s">
        <v>1522</v>
      </c>
      <c r="C606" s="305">
        <v>92</v>
      </c>
      <c r="D606" s="305">
        <v>0</v>
      </c>
      <c r="E606" s="305">
        <v>94</v>
      </c>
      <c r="F606" s="305">
        <v>1105</v>
      </c>
      <c r="G606" s="305">
        <v>0</v>
      </c>
      <c r="H606" s="305">
        <v>312</v>
      </c>
      <c r="I606" s="305">
        <v>0</v>
      </c>
      <c r="J606" s="1" t="s">
        <v>1024</v>
      </c>
      <c r="K606" s="3" t="s">
        <v>982</v>
      </c>
      <c r="L606" s="365"/>
      <c r="M606" s="2">
        <v>1105</v>
      </c>
      <c r="N606" s="311">
        <v>920</v>
      </c>
      <c r="O606" s="310" t="s">
        <v>507</v>
      </c>
      <c r="P606" s="309">
        <v>40</v>
      </c>
      <c r="Q606" s="60" t="s">
        <v>456</v>
      </c>
      <c r="R606" s="309">
        <v>5020</v>
      </c>
      <c r="S606" s="60" t="s">
        <v>205</v>
      </c>
      <c r="T606" s="61">
        <v>170</v>
      </c>
      <c r="U606" s="60" t="s">
        <v>501</v>
      </c>
      <c r="V606" s="1">
        <v>3</v>
      </c>
      <c r="W606" s="1" t="s">
        <v>1464</v>
      </c>
      <c r="X606" s="1" t="s">
        <v>1521</v>
      </c>
      <c r="Y606" s="2">
        <v>0</v>
      </c>
      <c r="Z606" s="2">
        <v>0</v>
      </c>
      <c r="AA606" s="2">
        <v>0</v>
      </c>
      <c r="AB606" s="2">
        <v>0</v>
      </c>
      <c r="AC606" s="2">
        <v>0</v>
      </c>
      <c r="AD606" s="2">
        <v>0</v>
      </c>
      <c r="AE606" s="2">
        <v>0</v>
      </c>
      <c r="AF606" s="2">
        <v>0</v>
      </c>
      <c r="AG606" s="2">
        <v>0</v>
      </c>
      <c r="AH606" s="2">
        <v>100</v>
      </c>
      <c r="AI606" s="2">
        <v>118</v>
      </c>
      <c r="AJ606" s="2">
        <v>94</v>
      </c>
      <c r="AK606" s="2">
        <v>127</v>
      </c>
      <c r="AL606" s="2">
        <v>37</v>
      </c>
      <c r="AM606" s="2">
        <v>53</v>
      </c>
      <c r="AN606" s="2">
        <v>24</v>
      </c>
      <c r="AO606" s="2">
        <v>83</v>
      </c>
      <c r="AP606" s="2">
        <v>90</v>
      </c>
      <c r="AQ606" s="2">
        <v>60</v>
      </c>
      <c r="AR606" s="2">
        <v>89</v>
      </c>
      <c r="AS606" s="2">
        <v>119</v>
      </c>
      <c r="AT606" s="2">
        <v>178</v>
      </c>
      <c r="AU606" s="2">
        <v>153</v>
      </c>
      <c r="AV606" s="2">
        <v>92</v>
      </c>
      <c r="AW606" s="1">
        <v>602</v>
      </c>
    </row>
    <row r="607" spans="1:49" ht="12.75">
      <c r="A607" s="5">
        <v>9920</v>
      </c>
      <c r="B607" s="2" t="s">
        <v>1523</v>
      </c>
      <c r="C607" s="305">
        <v>388</v>
      </c>
      <c r="D607" s="305">
        <v>0</v>
      </c>
      <c r="E607" s="305">
        <v>478</v>
      </c>
      <c r="F607" s="305">
        <v>5357</v>
      </c>
      <c r="G607" s="305">
        <v>0</v>
      </c>
      <c r="H607" s="305">
        <v>1464</v>
      </c>
      <c r="I607" s="305">
        <v>0</v>
      </c>
      <c r="J607" s="1" t="s">
        <v>736</v>
      </c>
      <c r="K607" s="3" t="s">
        <v>982</v>
      </c>
      <c r="L607" s="365"/>
      <c r="M607" s="2">
        <v>5357</v>
      </c>
      <c r="N607" s="311">
        <v>920</v>
      </c>
      <c r="O607" s="310" t="s">
        <v>507</v>
      </c>
      <c r="P607" s="309">
        <v>40</v>
      </c>
      <c r="Q607" s="60" t="s">
        <v>456</v>
      </c>
      <c r="R607" s="309">
        <v>5022</v>
      </c>
      <c r="S607" s="60" t="s">
        <v>202</v>
      </c>
      <c r="T607" s="61">
        <v>180</v>
      </c>
      <c r="U607" s="60" t="s">
        <v>385</v>
      </c>
      <c r="V607" s="1">
        <v>3</v>
      </c>
      <c r="W607" s="1" t="s">
        <v>1464</v>
      </c>
      <c r="X607" s="1" t="s">
        <v>1524</v>
      </c>
      <c r="Y607" s="2">
        <v>0</v>
      </c>
      <c r="Z607" s="2">
        <v>0</v>
      </c>
      <c r="AA607" s="2">
        <v>0</v>
      </c>
      <c r="AB607" s="2">
        <v>0</v>
      </c>
      <c r="AC607" s="2">
        <v>0</v>
      </c>
      <c r="AD607" s="2">
        <v>0</v>
      </c>
      <c r="AE607" s="2">
        <v>0</v>
      </c>
      <c r="AF607" s="2">
        <v>0</v>
      </c>
      <c r="AG607" s="2">
        <v>0</v>
      </c>
      <c r="AH607" s="2">
        <v>555</v>
      </c>
      <c r="AI607" s="2">
        <v>431</v>
      </c>
      <c r="AJ607" s="2">
        <v>478</v>
      </c>
      <c r="AK607" s="2">
        <v>500</v>
      </c>
      <c r="AL607" s="2">
        <v>412</v>
      </c>
      <c r="AM607" s="2">
        <v>424</v>
      </c>
      <c r="AN607" s="2">
        <v>498</v>
      </c>
      <c r="AO607" s="2">
        <v>595</v>
      </c>
      <c r="AP607" s="2">
        <v>551</v>
      </c>
      <c r="AQ607" s="2">
        <v>427</v>
      </c>
      <c r="AR607" s="2">
        <v>387</v>
      </c>
      <c r="AS607" s="2">
        <v>356</v>
      </c>
      <c r="AT607" s="2">
        <v>421</v>
      </c>
      <c r="AU607" s="2">
        <v>398</v>
      </c>
      <c r="AV607" s="2">
        <v>388</v>
      </c>
      <c r="AW607" s="1">
        <v>603</v>
      </c>
    </row>
    <row r="608" spans="1:49" ht="12.75">
      <c r="A608" s="5">
        <v>9920</v>
      </c>
      <c r="B608" s="2" t="s">
        <v>1525</v>
      </c>
      <c r="C608" s="305">
        <v>736</v>
      </c>
      <c r="D608" s="305">
        <v>0</v>
      </c>
      <c r="E608" s="305">
        <v>859</v>
      </c>
      <c r="F608" s="305">
        <v>7701</v>
      </c>
      <c r="G608" s="305">
        <v>0</v>
      </c>
      <c r="H608" s="305">
        <v>2322</v>
      </c>
      <c r="I608" s="305">
        <v>0</v>
      </c>
      <c r="J608" s="1" t="s">
        <v>738</v>
      </c>
      <c r="K608" s="3" t="s">
        <v>982</v>
      </c>
      <c r="L608" s="365"/>
      <c r="M608" s="2">
        <v>7701</v>
      </c>
      <c r="N608" s="311">
        <v>920</v>
      </c>
      <c r="O608" s="310" t="s">
        <v>507</v>
      </c>
      <c r="P608" s="309">
        <v>40</v>
      </c>
      <c r="Q608" s="60" t="s">
        <v>456</v>
      </c>
      <c r="R608" s="309">
        <v>5022</v>
      </c>
      <c r="S608" s="60" t="s">
        <v>202</v>
      </c>
      <c r="T608" s="61">
        <v>180</v>
      </c>
      <c r="U608" s="60" t="s">
        <v>385</v>
      </c>
      <c r="V608" s="1">
        <v>3</v>
      </c>
      <c r="W608" s="1" t="s">
        <v>1464</v>
      </c>
      <c r="X608" s="1" t="s">
        <v>1526</v>
      </c>
      <c r="Y608" s="2">
        <v>0</v>
      </c>
      <c r="Z608" s="2">
        <v>0</v>
      </c>
      <c r="AA608" s="2">
        <v>0</v>
      </c>
      <c r="AB608" s="2">
        <v>0</v>
      </c>
      <c r="AC608" s="2">
        <v>0</v>
      </c>
      <c r="AD608" s="2">
        <v>0</v>
      </c>
      <c r="AE608" s="2">
        <v>0</v>
      </c>
      <c r="AF608" s="2">
        <v>0</v>
      </c>
      <c r="AG608" s="2">
        <v>0</v>
      </c>
      <c r="AH608" s="2">
        <v>735</v>
      </c>
      <c r="AI608" s="2">
        <v>728</v>
      </c>
      <c r="AJ608" s="2">
        <v>859</v>
      </c>
      <c r="AK608" s="2">
        <v>797</v>
      </c>
      <c r="AL608" s="2">
        <v>617</v>
      </c>
      <c r="AM608" s="2">
        <v>608</v>
      </c>
      <c r="AN608" s="2">
        <v>746</v>
      </c>
      <c r="AO608" s="2">
        <v>818</v>
      </c>
      <c r="AP608" s="2">
        <v>675</v>
      </c>
      <c r="AQ608" s="2">
        <v>473</v>
      </c>
      <c r="AR608" s="2">
        <v>502</v>
      </c>
      <c r="AS608" s="2">
        <v>544</v>
      </c>
      <c r="AT608" s="2">
        <v>538</v>
      </c>
      <c r="AU608" s="2">
        <v>647</v>
      </c>
      <c r="AV608" s="2">
        <v>736</v>
      </c>
      <c r="AW608" s="1">
        <v>604</v>
      </c>
    </row>
    <row r="609" spans="1:49" ht="12.75">
      <c r="A609" s="5">
        <v>9920</v>
      </c>
      <c r="B609" s="2" t="s">
        <v>1527</v>
      </c>
      <c r="C609" s="305">
        <v>233</v>
      </c>
      <c r="D609" s="305">
        <v>0</v>
      </c>
      <c r="E609" s="305">
        <v>262</v>
      </c>
      <c r="F609" s="305">
        <v>2560</v>
      </c>
      <c r="G609" s="305">
        <v>0</v>
      </c>
      <c r="H609" s="305">
        <v>732</v>
      </c>
      <c r="I609" s="305">
        <v>0</v>
      </c>
      <c r="J609" s="1" t="s">
        <v>740</v>
      </c>
      <c r="K609" s="3" t="s">
        <v>982</v>
      </c>
      <c r="L609" s="365"/>
      <c r="M609" s="2">
        <v>2560</v>
      </c>
      <c r="N609" s="311">
        <v>920</v>
      </c>
      <c r="O609" s="310" t="s">
        <v>507</v>
      </c>
      <c r="P609" s="309">
        <v>40</v>
      </c>
      <c r="Q609" s="60" t="s">
        <v>456</v>
      </c>
      <c r="R609" s="309">
        <v>5022</v>
      </c>
      <c r="S609" s="60" t="s">
        <v>202</v>
      </c>
      <c r="T609" s="61">
        <v>180</v>
      </c>
      <c r="U609" s="60" t="s">
        <v>385</v>
      </c>
      <c r="V609" s="1">
        <v>3</v>
      </c>
      <c r="W609" s="1" t="s">
        <v>1464</v>
      </c>
      <c r="X609" s="1" t="s">
        <v>1528</v>
      </c>
      <c r="Y609" s="2">
        <v>0</v>
      </c>
      <c r="Z609" s="2">
        <v>0</v>
      </c>
      <c r="AA609" s="2">
        <v>0</v>
      </c>
      <c r="AB609" s="2">
        <v>0</v>
      </c>
      <c r="AC609" s="2">
        <v>0</v>
      </c>
      <c r="AD609" s="2">
        <v>0</v>
      </c>
      <c r="AE609" s="2">
        <v>0</v>
      </c>
      <c r="AF609" s="2">
        <v>0</v>
      </c>
      <c r="AG609" s="2">
        <v>0</v>
      </c>
      <c r="AH609" s="2">
        <v>246</v>
      </c>
      <c r="AI609" s="2">
        <v>224</v>
      </c>
      <c r="AJ609" s="2">
        <v>262</v>
      </c>
      <c r="AK609" s="2">
        <v>216</v>
      </c>
      <c r="AL609" s="2">
        <v>207</v>
      </c>
      <c r="AM609" s="2">
        <v>197</v>
      </c>
      <c r="AN609" s="2">
        <v>270</v>
      </c>
      <c r="AO609" s="2">
        <v>271</v>
      </c>
      <c r="AP609" s="2">
        <v>283</v>
      </c>
      <c r="AQ609" s="2">
        <v>149</v>
      </c>
      <c r="AR609" s="2">
        <v>184</v>
      </c>
      <c r="AS609" s="2">
        <v>152</v>
      </c>
      <c r="AT609" s="2">
        <v>209</v>
      </c>
      <c r="AU609" s="2">
        <v>189</v>
      </c>
      <c r="AV609" s="2">
        <v>233</v>
      </c>
      <c r="AW609" s="1">
        <v>605</v>
      </c>
    </row>
    <row r="610" spans="1:49" ht="12.75">
      <c r="A610" s="5">
        <v>9920</v>
      </c>
      <c r="B610" s="2" t="s">
        <v>1529</v>
      </c>
      <c r="C610" s="305">
        <v>227</v>
      </c>
      <c r="D610" s="305">
        <v>0</v>
      </c>
      <c r="E610" s="305">
        <v>306</v>
      </c>
      <c r="F610" s="305">
        <v>3186</v>
      </c>
      <c r="G610" s="305">
        <v>0</v>
      </c>
      <c r="H610" s="305">
        <v>910</v>
      </c>
      <c r="I610" s="305">
        <v>0</v>
      </c>
      <c r="J610" s="1" t="s">
        <v>742</v>
      </c>
      <c r="K610" s="3" t="s">
        <v>982</v>
      </c>
      <c r="L610" s="365"/>
      <c r="M610" s="2">
        <v>3186</v>
      </c>
      <c r="N610" s="311">
        <v>920</v>
      </c>
      <c r="O610" s="310" t="s">
        <v>507</v>
      </c>
      <c r="P610" s="309">
        <v>40</v>
      </c>
      <c r="Q610" s="60" t="s">
        <v>456</v>
      </c>
      <c r="R610" s="309">
        <v>5024</v>
      </c>
      <c r="S610" s="60" t="s">
        <v>155</v>
      </c>
      <c r="T610" s="61">
        <v>190</v>
      </c>
      <c r="U610" s="60" t="s">
        <v>503</v>
      </c>
      <c r="V610" s="1">
        <v>3</v>
      </c>
      <c r="W610" s="1" t="s">
        <v>1464</v>
      </c>
      <c r="X610" s="1" t="s">
        <v>1530</v>
      </c>
      <c r="Y610" s="2">
        <v>0</v>
      </c>
      <c r="Z610" s="2">
        <v>0</v>
      </c>
      <c r="AA610" s="2">
        <v>0</v>
      </c>
      <c r="AB610" s="2">
        <v>0</v>
      </c>
      <c r="AC610" s="2">
        <v>0</v>
      </c>
      <c r="AD610" s="2">
        <v>0</v>
      </c>
      <c r="AE610" s="2">
        <v>0</v>
      </c>
      <c r="AF610" s="2">
        <v>0</v>
      </c>
      <c r="AG610" s="2">
        <v>0</v>
      </c>
      <c r="AH610" s="2">
        <v>325</v>
      </c>
      <c r="AI610" s="2">
        <v>279</v>
      </c>
      <c r="AJ610" s="2">
        <v>306</v>
      </c>
      <c r="AK610" s="2">
        <v>284</v>
      </c>
      <c r="AL610" s="2">
        <v>219</v>
      </c>
      <c r="AM610" s="2">
        <v>295</v>
      </c>
      <c r="AN610" s="2">
        <v>213</v>
      </c>
      <c r="AO610" s="2">
        <v>300</v>
      </c>
      <c r="AP610" s="2">
        <v>324</v>
      </c>
      <c r="AQ610" s="2">
        <v>254</v>
      </c>
      <c r="AR610" s="2">
        <v>260</v>
      </c>
      <c r="AS610" s="2">
        <v>241</v>
      </c>
      <c r="AT610" s="2">
        <v>326</v>
      </c>
      <c r="AU610" s="2">
        <v>243</v>
      </c>
      <c r="AV610" s="2">
        <v>227</v>
      </c>
      <c r="AW610" s="1">
        <v>606</v>
      </c>
    </row>
    <row r="611" spans="1:49" ht="12.75">
      <c r="A611" s="5">
        <v>9920</v>
      </c>
      <c r="B611" s="2" t="s">
        <v>1531</v>
      </c>
      <c r="C611" s="305">
        <v>1731.7</v>
      </c>
      <c r="D611" s="305">
        <v>0</v>
      </c>
      <c r="E611" s="305">
        <v>64</v>
      </c>
      <c r="F611" s="305">
        <v>8809.15</v>
      </c>
      <c r="G611" s="305">
        <v>0</v>
      </c>
      <c r="H611" s="305">
        <v>172</v>
      </c>
      <c r="I611" s="305">
        <v>0</v>
      </c>
      <c r="J611" s="1" t="s">
        <v>744</v>
      </c>
      <c r="K611" s="3" t="s">
        <v>982</v>
      </c>
      <c r="L611" s="365"/>
      <c r="M611" s="2">
        <v>8809.15</v>
      </c>
      <c r="N611" s="311">
        <v>920</v>
      </c>
      <c r="O611" s="310" t="s">
        <v>507</v>
      </c>
      <c r="P611" s="309">
        <v>40</v>
      </c>
      <c r="Q611" s="60" t="s">
        <v>456</v>
      </c>
      <c r="R611" s="309">
        <v>5024</v>
      </c>
      <c r="S611" s="60" t="s">
        <v>155</v>
      </c>
      <c r="T611" s="61">
        <v>190</v>
      </c>
      <c r="U611" s="60" t="s">
        <v>503</v>
      </c>
      <c r="V611" s="1">
        <v>3</v>
      </c>
      <c r="W611" s="1" t="s">
        <v>1464</v>
      </c>
      <c r="X611" s="1" t="s">
        <v>1530</v>
      </c>
      <c r="Y611" s="2">
        <v>0</v>
      </c>
      <c r="Z611" s="2">
        <v>0</v>
      </c>
      <c r="AA611" s="2">
        <v>0</v>
      </c>
      <c r="AB611" s="2">
        <v>0</v>
      </c>
      <c r="AC611" s="2">
        <v>0</v>
      </c>
      <c r="AD611" s="2">
        <v>0</v>
      </c>
      <c r="AE611" s="2">
        <v>0</v>
      </c>
      <c r="AF611" s="2">
        <v>0</v>
      </c>
      <c r="AG611" s="2">
        <v>0</v>
      </c>
      <c r="AH611" s="2">
        <v>55</v>
      </c>
      <c r="AI611" s="2">
        <v>53</v>
      </c>
      <c r="AJ611" s="2">
        <v>64</v>
      </c>
      <c r="AK611" s="2">
        <v>61</v>
      </c>
      <c r="AL611" s="2">
        <v>49</v>
      </c>
      <c r="AM611" s="2">
        <v>63</v>
      </c>
      <c r="AN611" s="2">
        <v>2053.9</v>
      </c>
      <c r="AO611" s="2">
        <v>1125</v>
      </c>
      <c r="AP611" s="2">
        <v>777.95</v>
      </c>
      <c r="AQ611" s="2">
        <v>1052.7</v>
      </c>
      <c r="AR611" s="2">
        <v>359</v>
      </c>
      <c r="AS611" s="2">
        <v>549.9</v>
      </c>
      <c r="AT611" s="2">
        <v>491</v>
      </c>
      <c r="AU611" s="2">
        <v>495</v>
      </c>
      <c r="AV611" s="2">
        <v>1731.7</v>
      </c>
      <c r="AW611" s="1">
        <v>607</v>
      </c>
    </row>
    <row r="612" spans="1:49" ht="12.75">
      <c r="A612" s="5">
        <v>9920</v>
      </c>
      <c r="B612" s="2" t="s">
        <v>1532</v>
      </c>
      <c r="C612" s="305">
        <v>2</v>
      </c>
      <c r="D612" s="305">
        <v>0</v>
      </c>
      <c r="E612" s="305">
        <v>0</v>
      </c>
      <c r="F612" s="305">
        <v>4</v>
      </c>
      <c r="G612" s="305">
        <v>0</v>
      </c>
      <c r="H612" s="305">
        <v>0</v>
      </c>
      <c r="I612" s="305">
        <v>0</v>
      </c>
      <c r="J612" s="1" t="s">
        <v>746</v>
      </c>
      <c r="K612" s="3" t="s">
        <v>982</v>
      </c>
      <c r="L612" s="365"/>
      <c r="M612" s="2">
        <v>4</v>
      </c>
      <c r="N612" s="311">
        <v>920</v>
      </c>
      <c r="O612" s="310" t="s">
        <v>507</v>
      </c>
      <c r="P612" s="309">
        <v>40</v>
      </c>
      <c r="Q612" s="60" t="s">
        <v>456</v>
      </c>
      <c r="R612" s="309">
        <v>5024</v>
      </c>
      <c r="S612" s="60" t="s">
        <v>155</v>
      </c>
      <c r="T612" s="61">
        <v>190</v>
      </c>
      <c r="U612" s="60" t="s">
        <v>503</v>
      </c>
      <c r="V612" s="1">
        <v>3</v>
      </c>
      <c r="W612" s="1" t="s">
        <v>1464</v>
      </c>
      <c r="X612" s="1" t="s">
        <v>1533</v>
      </c>
      <c r="Y612" s="2">
        <v>0</v>
      </c>
      <c r="Z612" s="2">
        <v>0</v>
      </c>
      <c r="AA612" s="2">
        <v>0</v>
      </c>
      <c r="AB612" s="2">
        <v>0</v>
      </c>
      <c r="AC612" s="2">
        <v>0</v>
      </c>
      <c r="AD612" s="2">
        <v>0</v>
      </c>
      <c r="AE612" s="2">
        <v>0</v>
      </c>
      <c r="AF612" s="2">
        <v>0</v>
      </c>
      <c r="AG612" s="2">
        <v>0</v>
      </c>
      <c r="AH612" s="2">
        <v>0</v>
      </c>
      <c r="AI612" s="2">
        <v>0</v>
      </c>
      <c r="AJ612" s="2">
        <v>0</v>
      </c>
      <c r="AK612" s="2">
        <v>0</v>
      </c>
      <c r="AL612" s="2">
        <v>0</v>
      </c>
      <c r="AM612" s="2">
        <v>0</v>
      </c>
      <c r="AN612" s="2">
        <v>0</v>
      </c>
      <c r="AO612" s="2">
        <v>0</v>
      </c>
      <c r="AP612" s="2">
        <v>0</v>
      </c>
      <c r="AQ612" s="2">
        <v>0</v>
      </c>
      <c r="AR612" s="2">
        <v>0</v>
      </c>
      <c r="AS612" s="2">
        <v>0</v>
      </c>
      <c r="AT612" s="2">
        <v>2</v>
      </c>
      <c r="AU612" s="2">
        <v>0</v>
      </c>
      <c r="AV612" s="2">
        <v>2</v>
      </c>
      <c r="AW612" s="1">
        <v>608</v>
      </c>
    </row>
    <row r="613" spans="1:49" ht="12.75">
      <c r="A613" s="5">
        <v>9920</v>
      </c>
      <c r="B613" s="2" t="s">
        <v>1534</v>
      </c>
      <c r="C613" s="305">
        <v>23</v>
      </c>
      <c r="D613" s="305">
        <v>0</v>
      </c>
      <c r="E613" s="305">
        <v>18</v>
      </c>
      <c r="F613" s="305">
        <v>194</v>
      </c>
      <c r="G613" s="305">
        <v>0</v>
      </c>
      <c r="H613" s="305">
        <v>54</v>
      </c>
      <c r="I613" s="305">
        <v>0</v>
      </c>
      <c r="J613" s="1" t="s">
        <v>748</v>
      </c>
      <c r="K613" s="3" t="s">
        <v>982</v>
      </c>
      <c r="L613" s="365"/>
      <c r="M613" s="2">
        <v>194</v>
      </c>
      <c r="N613" s="311">
        <v>920</v>
      </c>
      <c r="O613" s="310" t="s">
        <v>507</v>
      </c>
      <c r="P613" s="309">
        <v>40</v>
      </c>
      <c r="Q613" s="60" t="s">
        <v>456</v>
      </c>
      <c r="R613" s="309">
        <v>5024</v>
      </c>
      <c r="S613" s="60" t="s">
        <v>155</v>
      </c>
      <c r="T613" s="61">
        <v>190</v>
      </c>
      <c r="U613" s="60" t="s">
        <v>503</v>
      </c>
      <c r="V613" s="1">
        <v>3</v>
      </c>
      <c r="W613" s="1" t="s">
        <v>1464</v>
      </c>
      <c r="X613" s="1" t="s">
        <v>1533</v>
      </c>
      <c r="Y613" s="2">
        <v>0</v>
      </c>
      <c r="Z613" s="2">
        <v>0</v>
      </c>
      <c r="AA613" s="2">
        <v>0</v>
      </c>
      <c r="AB613" s="2">
        <v>0</v>
      </c>
      <c r="AC613" s="2">
        <v>0</v>
      </c>
      <c r="AD613" s="2">
        <v>0</v>
      </c>
      <c r="AE613" s="2">
        <v>0</v>
      </c>
      <c r="AF613" s="2">
        <v>0</v>
      </c>
      <c r="AG613" s="2">
        <v>0</v>
      </c>
      <c r="AH613" s="2">
        <v>18</v>
      </c>
      <c r="AI613" s="2">
        <v>18</v>
      </c>
      <c r="AJ613" s="2">
        <v>18</v>
      </c>
      <c r="AK613" s="2">
        <v>17</v>
      </c>
      <c r="AL613" s="2">
        <v>9</v>
      </c>
      <c r="AM613" s="2">
        <v>25</v>
      </c>
      <c r="AN613" s="2">
        <v>16</v>
      </c>
      <c r="AO613" s="2">
        <v>18</v>
      </c>
      <c r="AP613" s="2">
        <v>7</v>
      </c>
      <c r="AQ613" s="2">
        <v>10</v>
      </c>
      <c r="AR613" s="2">
        <v>15</v>
      </c>
      <c r="AS613" s="2">
        <v>18</v>
      </c>
      <c r="AT613" s="2">
        <v>10</v>
      </c>
      <c r="AU613" s="2">
        <v>26</v>
      </c>
      <c r="AV613" s="2">
        <v>23</v>
      </c>
      <c r="AW613" s="1">
        <v>609</v>
      </c>
    </row>
    <row r="614" spans="1:49" ht="12.75">
      <c r="A614" s="5">
        <v>9920</v>
      </c>
      <c r="B614" s="2" t="s">
        <v>1535</v>
      </c>
      <c r="C614" s="305">
        <v>15</v>
      </c>
      <c r="D614" s="305">
        <v>0</v>
      </c>
      <c r="E614" s="305">
        <v>69</v>
      </c>
      <c r="F614" s="305">
        <v>2393</v>
      </c>
      <c r="G614" s="305">
        <v>0</v>
      </c>
      <c r="H614" s="305">
        <v>145</v>
      </c>
      <c r="I614" s="305">
        <v>0</v>
      </c>
      <c r="J614" s="1" t="s">
        <v>750</v>
      </c>
      <c r="K614" s="3" t="s">
        <v>982</v>
      </c>
      <c r="L614" s="365"/>
      <c r="M614" s="2">
        <v>2393</v>
      </c>
      <c r="N614" s="311">
        <v>920</v>
      </c>
      <c r="O614" s="310" t="s">
        <v>507</v>
      </c>
      <c r="P614" s="309">
        <v>40</v>
      </c>
      <c r="Q614" s="60" t="s">
        <v>456</v>
      </c>
      <c r="R614" s="309">
        <v>5024</v>
      </c>
      <c r="S614" s="60" t="s">
        <v>155</v>
      </c>
      <c r="T614" s="61">
        <v>190</v>
      </c>
      <c r="U614" s="60" t="s">
        <v>503</v>
      </c>
      <c r="V614" s="1">
        <v>3</v>
      </c>
      <c r="W614" s="1" t="s">
        <v>1464</v>
      </c>
      <c r="X614" s="1" t="s">
        <v>1533</v>
      </c>
      <c r="Y614" s="2">
        <v>0</v>
      </c>
      <c r="Z614" s="2">
        <v>0</v>
      </c>
      <c r="AA614" s="2">
        <v>0</v>
      </c>
      <c r="AB614" s="2">
        <v>0</v>
      </c>
      <c r="AC614" s="2">
        <v>0</v>
      </c>
      <c r="AD614" s="2">
        <v>0</v>
      </c>
      <c r="AE614" s="2">
        <v>0</v>
      </c>
      <c r="AF614" s="2">
        <v>0</v>
      </c>
      <c r="AG614" s="2">
        <v>0</v>
      </c>
      <c r="AH614" s="2">
        <v>39</v>
      </c>
      <c r="AI614" s="2">
        <v>37</v>
      </c>
      <c r="AJ614" s="2">
        <v>69</v>
      </c>
      <c r="AK614" s="2">
        <v>27</v>
      </c>
      <c r="AL614" s="2">
        <v>22</v>
      </c>
      <c r="AM614" s="2">
        <v>26</v>
      </c>
      <c r="AN614" s="2">
        <v>1004</v>
      </c>
      <c r="AO614" s="2">
        <v>36</v>
      </c>
      <c r="AP614" s="2">
        <v>113</v>
      </c>
      <c r="AQ614" s="2">
        <v>502</v>
      </c>
      <c r="AR614" s="2">
        <v>605</v>
      </c>
      <c r="AS614" s="2">
        <v>33</v>
      </c>
      <c r="AT614" s="2">
        <v>8</v>
      </c>
      <c r="AU614" s="2">
        <v>2</v>
      </c>
      <c r="AV614" s="2">
        <v>15</v>
      </c>
      <c r="AW614" s="1">
        <v>610</v>
      </c>
    </row>
    <row r="615" spans="1:49" ht="12.75">
      <c r="A615" s="5">
        <v>9920</v>
      </c>
      <c r="B615" s="2" t="s">
        <v>1536</v>
      </c>
      <c r="C615" s="305">
        <v>102</v>
      </c>
      <c r="D615" s="305">
        <v>0</v>
      </c>
      <c r="E615" s="305">
        <v>129</v>
      </c>
      <c r="F615" s="305">
        <v>930.91</v>
      </c>
      <c r="G615" s="305">
        <v>0</v>
      </c>
      <c r="H615" s="305">
        <v>211.76</v>
      </c>
      <c r="I615" s="305">
        <v>0</v>
      </c>
      <c r="J615" s="1" t="s">
        <v>752</v>
      </c>
      <c r="K615" s="3" t="s">
        <v>982</v>
      </c>
      <c r="L615" s="365"/>
      <c r="M615" s="2">
        <v>930.91</v>
      </c>
      <c r="N615" s="311">
        <v>920</v>
      </c>
      <c r="O615" s="310" t="s">
        <v>507</v>
      </c>
      <c r="P615" s="309">
        <v>40</v>
      </c>
      <c r="Q615" s="60" t="s">
        <v>456</v>
      </c>
      <c r="R615" s="309">
        <v>5024</v>
      </c>
      <c r="S615" s="60" t="s">
        <v>155</v>
      </c>
      <c r="T615" s="61">
        <v>190</v>
      </c>
      <c r="U615" s="60" t="s">
        <v>503</v>
      </c>
      <c r="V615" s="1">
        <v>3</v>
      </c>
      <c r="W615" s="1" t="s">
        <v>1464</v>
      </c>
      <c r="X615" s="1" t="s">
        <v>1537</v>
      </c>
      <c r="Y615" s="2">
        <v>0</v>
      </c>
      <c r="Z615" s="2">
        <v>0</v>
      </c>
      <c r="AA615" s="2">
        <v>0</v>
      </c>
      <c r="AB615" s="2">
        <v>0</v>
      </c>
      <c r="AC615" s="2">
        <v>0</v>
      </c>
      <c r="AD615" s="2">
        <v>0</v>
      </c>
      <c r="AE615" s="2">
        <v>0</v>
      </c>
      <c r="AF615" s="2">
        <v>0</v>
      </c>
      <c r="AG615" s="2">
        <v>0</v>
      </c>
      <c r="AH615" s="2">
        <v>27.76</v>
      </c>
      <c r="AI615" s="2">
        <v>55</v>
      </c>
      <c r="AJ615" s="2">
        <v>129</v>
      </c>
      <c r="AK615" s="2">
        <v>72.91</v>
      </c>
      <c r="AL615" s="2">
        <v>75</v>
      </c>
      <c r="AM615" s="2">
        <v>66</v>
      </c>
      <c r="AN615" s="2">
        <v>127</v>
      </c>
      <c r="AO615" s="2">
        <v>71</v>
      </c>
      <c r="AP615" s="2">
        <v>119</v>
      </c>
      <c r="AQ615" s="2">
        <v>96</v>
      </c>
      <c r="AR615" s="2">
        <v>60</v>
      </c>
      <c r="AS615" s="2">
        <v>49</v>
      </c>
      <c r="AT615" s="2">
        <v>47</v>
      </c>
      <c r="AU615" s="2">
        <v>46</v>
      </c>
      <c r="AV615" s="2">
        <v>102</v>
      </c>
      <c r="AW615" s="1">
        <v>611</v>
      </c>
    </row>
    <row r="616" spans="1:49" ht="12.75">
      <c r="A616" s="5">
        <v>9920</v>
      </c>
      <c r="B616" s="2" t="s">
        <v>1538</v>
      </c>
      <c r="C616" s="305">
        <v>1</v>
      </c>
      <c r="D616" s="305">
        <v>0</v>
      </c>
      <c r="E616" s="305">
        <v>124</v>
      </c>
      <c r="F616" s="305">
        <v>70</v>
      </c>
      <c r="G616" s="305">
        <v>0</v>
      </c>
      <c r="H616" s="305">
        <v>180</v>
      </c>
      <c r="I616" s="305">
        <v>0</v>
      </c>
      <c r="J616" s="1" t="s">
        <v>754</v>
      </c>
      <c r="K616" s="3" t="s">
        <v>982</v>
      </c>
      <c r="L616" s="365"/>
      <c r="M616" s="2">
        <v>70</v>
      </c>
      <c r="N616" s="311">
        <v>920</v>
      </c>
      <c r="O616" s="310" t="s">
        <v>507</v>
      </c>
      <c r="P616" s="309">
        <v>40</v>
      </c>
      <c r="Q616" s="60" t="s">
        <v>456</v>
      </c>
      <c r="R616" s="309">
        <v>5024</v>
      </c>
      <c r="S616" s="60" t="s">
        <v>155</v>
      </c>
      <c r="T616" s="61">
        <v>190</v>
      </c>
      <c r="U616" s="60" t="s">
        <v>503</v>
      </c>
      <c r="V616" s="1">
        <v>3</v>
      </c>
      <c r="W616" s="1" t="s">
        <v>1464</v>
      </c>
      <c r="X616" s="1" t="s">
        <v>1533</v>
      </c>
      <c r="Y616" s="2">
        <v>0</v>
      </c>
      <c r="Z616" s="2">
        <v>0</v>
      </c>
      <c r="AA616" s="2">
        <v>0</v>
      </c>
      <c r="AB616" s="2">
        <v>0</v>
      </c>
      <c r="AC616" s="2">
        <v>0</v>
      </c>
      <c r="AD616" s="2">
        <v>0</v>
      </c>
      <c r="AE616" s="2">
        <v>0</v>
      </c>
      <c r="AF616" s="2">
        <v>0</v>
      </c>
      <c r="AG616" s="2">
        <v>0</v>
      </c>
      <c r="AH616" s="2">
        <v>15</v>
      </c>
      <c r="AI616" s="2">
        <v>41</v>
      </c>
      <c r="AJ616" s="2">
        <v>124</v>
      </c>
      <c r="AK616" s="2">
        <v>45</v>
      </c>
      <c r="AL616" s="2">
        <v>1</v>
      </c>
      <c r="AM616" s="2">
        <v>3</v>
      </c>
      <c r="AN616" s="2">
        <v>7</v>
      </c>
      <c r="AO616" s="2">
        <v>5</v>
      </c>
      <c r="AP616" s="2">
        <v>4</v>
      </c>
      <c r="AQ616" s="2">
        <v>1</v>
      </c>
      <c r="AR616" s="2">
        <v>2</v>
      </c>
      <c r="AS616" s="2">
        <v>1</v>
      </c>
      <c r="AT616" s="2">
        <v>0</v>
      </c>
      <c r="AU616" s="2">
        <v>0</v>
      </c>
      <c r="AV616" s="2">
        <v>1</v>
      </c>
      <c r="AW616" s="1">
        <v>612</v>
      </c>
    </row>
    <row r="617" spans="1:49" ht="12.75">
      <c r="A617" s="5">
        <v>9920</v>
      </c>
      <c r="B617" s="2" t="s">
        <v>1539</v>
      </c>
      <c r="C617" s="305">
        <v>509</v>
      </c>
      <c r="D617" s="305">
        <v>0</v>
      </c>
      <c r="E617" s="305">
        <v>624</v>
      </c>
      <c r="F617" s="305">
        <v>3985.6</v>
      </c>
      <c r="G617" s="305">
        <v>0</v>
      </c>
      <c r="H617" s="305">
        <v>1411</v>
      </c>
      <c r="I617" s="305">
        <v>0</v>
      </c>
      <c r="J617" s="1" t="s">
        <v>758</v>
      </c>
      <c r="K617" s="3" t="s">
        <v>982</v>
      </c>
      <c r="L617" s="365"/>
      <c r="M617" s="2">
        <v>3985.6</v>
      </c>
      <c r="N617" s="311">
        <v>920</v>
      </c>
      <c r="O617" s="310" t="s">
        <v>507</v>
      </c>
      <c r="P617" s="309">
        <v>40</v>
      </c>
      <c r="Q617" s="60" t="s">
        <v>456</v>
      </c>
      <c r="R617" s="309">
        <v>5024</v>
      </c>
      <c r="S617" s="60" t="s">
        <v>155</v>
      </c>
      <c r="T617" s="61">
        <v>200</v>
      </c>
      <c r="U617" s="60" t="s">
        <v>499</v>
      </c>
      <c r="V617" s="1">
        <v>3</v>
      </c>
      <c r="W617" s="1" t="s">
        <v>1464</v>
      </c>
      <c r="X617" s="1" t="s">
        <v>1540</v>
      </c>
      <c r="Y617" s="2">
        <v>0</v>
      </c>
      <c r="Z617" s="2">
        <v>0</v>
      </c>
      <c r="AA617" s="2">
        <v>0</v>
      </c>
      <c r="AB617" s="2">
        <v>0</v>
      </c>
      <c r="AC617" s="2">
        <v>0</v>
      </c>
      <c r="AD617" s="2">
        <v>0</v>
      </c>
      <c r="AE617" s="2">
        <v>0</v>
      </c>
      <c r="AF617" s="2">
        <v>0</v>
      </c>
      <c r="AG617" s="2">
        <v>0</v>
      </c>
      <c r="AH617" s="2">
        <v>369</v>
      </c>
      <c r="AI617" s="2">
        <v>418</v>
      </c>
      <c r="AJ617" s="2">
        <v>624</v>
      </c>
      <c r="AK617" s="2">
        <v>389</v>
      </c>
      <c r="AL617" s="2">
        <v>340</v>
      </c>
      <c r="AM617" s="2">
        <v>428</v>
      </c>
      <c r="AN617" s="2">
        <v>335</v>
      </c>
      <c r="AO617" s="2">
        <v>346</v>
      </c>
      <c r="AP617" s="2">
        <v>300</v>
      </c>
      <c r="AQ617" s="2">
        <v>219.6</v>
      </c>
      <c r="AR617" s="2">
        <v>387</v>
      </c>
      <c r="AS617" s="2">
        <v>345</v>
      </c>
      <c r="AT617" s="2">
        <v>157</v>
      </c>
      <c r="AU617" s="2">
        <v>230</v>
      </c>
      <c r="AV617" s="2">
        <v>509</v>
      </c>
      <c r="AW617" s="1">
        <v>613</v>
      </c>
    </row>
    <row r="618" spans="1:49" ht="12.75">
      <c r="A618" s="5">
        <v>9920</v>
      </c>
      <c r="B618" s="2" t="s">
        <v>1541</v>
      </c>
      <c r="C618" s="305">
        <v>23</v>
      </c>
      <c r="D618" s="305">
        <v>0</v>
      </c>
      <c r="E618" s="305">
        <v>17</v>
      </c>
      <c r="F618" s="305">
        <v>226</v>
      </c>
      <c r="G618" s="305">
        <v>0</v>
      </c>
      <c r="H618" s="305">
        <v>50</v>
      </c>
      <c r="I618" s="305">
        <v>0</v>
      </c>
      <c r="J618" s="1" t="s">
        <v>760</v>
      </c>
      <c r="K618" s="3" t="s">
        <v>982</v>
      </c>
      <c r="L618" s="365"/>
      <c r="M618" s="2">
        <v>226</v>
      </c>
      <c r="N618" s="311">
        <v>920</v>
      </c>
      <c r="O618" s="310" t="s">
        <v>507</v>
      </c>
      <c r="P618" s="309">
        <v>40</v>
      </c>
      <c r="Q618" s="60" t="s">
        <v>456</v>
      </c>
      <c r="R618" s="309">
        <v>5024</v>
      </c>
      <c r="S618" s="60" t="s">
        <v>155</v>
      </c>
      <c r="T618" s="61">
        <v>200</v>
      </c>
      <c r="U618" s="60" t="s">
        <v>499</v>
      </c>
      <c r="V618" s="1">
        <v>3</v>
      </c>
      <c r="W618" s="1" t="s">
        <v>1464</v>
      </c>
      <c r="X618" s="1" t="s">
        <v>1542</v>
      </c>
      <c r="Y618" s="2">
        <v>0</v>
      </c>
      <c r="Z618" s="2">
        <v>0</v>
      </c>
      <c r="AA618" s="2">
        <v>0</v>
      </c>
      <c r="AB618" s="2">
        <v>0</v>
      </c>
      <c r="AC618" s="2">
        <v>0</v>
      </c>
      <c r="AD618" s="2">
        <v>0</v>
      </c>
      <c r="AE618" s="2">
        <v>0</v>
      </c>
      <c r="AF618" s="2">
        <v>0</v>
      </c>
      <c r="AG618" s="2">
        <v>0</v>
      </c>
      <c r="AH618" s="2">
        <v>19</v>
      </c>
      <c r="AI618" s="2">
        <v>14</v>
      </c>
      <c r="AJ618" s="2">
        <v>17</v>
      </c>
      <c r="AK618" s="2">
        <v>11</v>
      </c>
      <c r="AL618" s="2">
        <v>13</v>
      </c>
      <c r="AM618" s="2">
        <v>16</v>
      </c>
      <c r="AN618" s="2">
        <v>27</v>
      </c>
      <c r="AO618" s="2">
        <v>20</v>
      </c>
      <c r="AP618" s="2">
        <v>18</v>
      </c>
      <c r="AQ618" s="2">
        <v>14</v>
      </c>
      <c r="AR618" s="2">
        <v>14</v>
      </c>
      <c r="AS618" s="2">
        <v>30</v>
      </c>
      <c r="AT618" s="2">
        <v>19</v>
      </c>
      <c r="AU618" s="2">
        <v>21</v>
      </c>
      <c r="AV618" s="2">
        <v>23</v>
      </c>
      <c r="AW618" s="1">
        <v>614</v>
      </c>
    </row>
    <row r="619" spans="1:49" ht="12.75">
      <c r="A619" s="5">
        <v>9920</v>
      </c>
      <c r="B619" s="2" t="s">
        <v>1543</v>
      </c>
      <c r="C619" s="305">
        <v>7584.8</v>
      </c>
      <c r="D619" s="305">
        <v>0</v>
      </c>
      <c r="E619" s="305">
        <v>113</v>
      </c>
      <c r="F619" s="305">
        <v>54288.7</v>
      </c>
      <c r="G619" s="305">
        <v>0</v>
      </c>
      <c r="H619" s="305">
        <v>314</v>
      </c>
      <c r="I619" s="305">
        <v>0</v>
      </c>
      <c r="J619" s="1" t="s">
        <v>762</v>
      </c>
      <c r="K619" s="3" t="s">
        <v>982</v>
      </c>
      <c r="L619" s="365"/>
      <c r="M619" s="2">
        <v>54288.7</v>
      </c>
      <c r="N619" s="311">
        <v>920</v>
      </c>
      <c r="O619" s="310" t="s">
        <v>507</v>
      </c>
      <c r="P619" s="309">
        <v>40</v>
      </c>
      <c r="Q619" s="60" t="s">
        <v>456</v>
      </c>
      <c r="R619" s="309">
        <v>5024</v>
      </c>
      <c r="S619" s="60" t="s">
        <v>155</v>
      </c>
      <c r="T619" s="61">
        <v>200</v>
      </c>
      <c r="U619" s="60" t="s">
        <v>499</v>
      </c>
      <c r="V619" s="1">
        <v>3</v>
      </c>
      <c r="W619" s="1" t="s">
        <v>1464</v>
      </c>
      <c r="X619" s="1" t="s">
        <v>1542</v>
      </c>
      <c r="Y619" s="2">
        <v>0</v>
      </c>
      <c r="Z619" s="2">
        <v>0</v>
      </c>
      <c r="AA619" s="2">
        <v>0</v>
      </c>
      <c r="AB619" s="2">
        <v>0</v>
      </c>
      <c r="AC619" s="2">
        <v>0</v>
      </c>
      <c r="AD619" s="2">
        <v>0</v>
      </c>
      <c r="AE619" s="2">
        <v>0</v>
      </c>
      <c r="AF619" s="2">
        <v>0</v>
      </c>
      <c r="AG619" s="2">
        <v>0</v>
      </c>
      <c r="AH619" s="2">
        <v>110</v>
      </c>
      <c r="AI619" s="2">
        <v>91</v>
      </c>
      <c r="AJ619" s="2">
        <v>113</v>
      </c>
      <c r="AK619" s="2">
        <v>127</v>
      </c>
      <c r="AL619" s="2">
        <v>136</v>
      </c>
      <c r="AM619" s="2">
        <v>6227</v>
      </c>
      <c r="AN619" s="2">
        <v>3049.1</v>
      </c>
      <c r="AO619" s="2">
        <v>3385</v>
      </c>
      <c r="AP619" s="2">
        <v>3428</v>
      </c>
      <c r="AQ619" s="2">
        <v>4273.9</v>
      </c>
      <c r="AR619" s="2">
        <v>8518</v>
      </c>
      <c r="AS619" s="2">
        <v>5748</v>
      </c>
      <c r="AT619" s="2">
        <v>9953.9</v>
      </c>
      <c r="AU619" s="2">
        <v>1858</v>
      </c>
      <c r="AV619" s="2">
        <v>7584.8</v>
      </c>
      <c r="AW619" s="1">
        <v>615</v>
      </c>
    </row>
    <row r="620" spans="1:49" ht="12.75">
      <c r="A620" s="5">
        <v>9920</v>
      </c>
      <c r="B620" s="2" t="s">
        <v>1544</v>
      </c>
      <c r="C620" s="305">
        <v>3425</v>
      </c>
      <c r="D620" s="305">
        <v>0</v>
      </c>
      <c r="E620" s="305">
        <v>44</v>
      </c>
      <c r="F620" s="305">
        <v>41567</v>
      </c>
      <c r="G620" s="305">
        <v>0</v>
      </c>
      <c r="H620" s="305">
        <v>120</v>
      </c>
      <c r="I620" s="305">
        <v>0</v>
      </c>
      <c r="J620" s="1" t="s">
        <v>764</v>
      </c>
      <c r="K620" s="3" t="s">
        <v>982</v>
      </c>
      <c r="L620" s="365"/>
      <c r="M620" s="2">
        <v>41567</v>
      </c>
      <c r="N620" s="311">
        <v>920</v>
      </c>
      <c r="O620" s="310" t="s">
        <v>507</v>
      </c>
      <c r="P620" s="309">
        <v>40</v>
      </c>
      <c r="Q620" s="60" t="s">
        <v>456</v>
      </c>
      <c r="R620" s="309">
        <v>2001</v>
      </c>
      <c r="S620" s="60" t="s">
        <v>203</v>
      </c>
      <c r="T620" s="61">
        <v>200</v>
      </c>
      <c r="U620" s="60" t="s">
        <v>499</v>
      </c>
      <c r="V620" s="1">
        <v>3</v>
      </c>
      <c r="W620" s="1" t="s">
        <v>1464</v>
      </c>
      <c r="X620" s="1" t="s">
        <v>1545</v>
      </c>
      <c r="Y620" s="2">
        <v>0</v>
      </c>
      <c r="Z620" s="2">
        <v>0</v>
      </c>
      <c r="AA620" s="2">
        <v>0</v>
      </c>
      <c r="AB620" s="2">
        <v>0</v>
      </c>
      <c r="AC620" s="2">
        <v>0</v>
      </c>
      <c r="AD620" s="2">
        <v>0</v>
      </c>
      <c r="AE620" s="2">
        <v>0</v>
      </c>
      <c r="AF620" s="2">
        <v>0</v>
      </c>
      <c r="AG620" s="2">
        <v>0</v>
      </c>
      <c r="AH620" s="2">
        <v>41</v>
      </c>
      <c r="AI620" s="2">
        <v>35</v>
      </c>
      <c r="AJ620" s="2">
        <v>44</v>
      </c>
      <c r="AK620" s="2">
        <v>47</v>
      </c>
      <c r="AL620" s="2">
        <v>62</v>
      </c>
      <c r="AM620" s="2">
        <v>311</v>
      </c>
      <c r="AN620" s="2">
        <v>728</v>
      </c>
      <c r="AO620" s="2">
        <v>2012</v>
      </c>
      <c r="AP620" s="2">
        <v>7813</v>
      </c>
      <c r="AQ620" s="2">
        <v>3593</v>
      </c>
      <c r="AR620" s="2">
        <v>14446</v>
      </c>
      <c r="AS620" s="2">
        <v>6447</v>
      </c>
      <c r="AT620" s="2">
        <v>1866</v>
      </c>
      <c r="AU620" s="2">
        <v>817</v>
      </c>
      <c r="AV620" s="2">
        <v>3425</v>
      </c>
      <c r="AW620" s="1">
        <v>616</v>
      </c>
    </row>
    <row r="621" spans="1:49" ht="12.75">
      <c r="A621" s="5">
        <v>9920</v>
      </c>
      <c r="B621" s="2" t="s">
        <v>1546</v>
      </c>
      <c r="C621" s="305">
        <v>123</v>
      </c>
      <c r="D621" s="305">
        <v>0</v>
      </c>
      <c r="E621" s="305">
        <v>109</v>
      </c>
      <c r="F621" s="305">
        <v>1820</v>
      </c>
      <c r="G621" s="305">
        <v>0</v>
      </c>
      <c r="H621" s="305">
        <v>575</v>
      </c>
      <c r="I621" s="305">
        <v>0</v>
      </c>
      <c r="J621" s="1" t="s">
        <v>766</v>
      </c>
      <c r="K621" s="3" t="s">
        <v>982</v>
      </c>
      <c r="L621" s="365"/>
      <c r="M621" s="2">
        <v>1820</v>
      </c>
      <c r="N621" s="311">
        <v>920</v>
      </c>
      <c r="O621" s="310" t="s">
        <v>507</v>
      </c>
      <c r="P621" s="309">
        <v>40</v>
      </c>
      <c r="Q621" s="60" t="s">
        <v>456</v>
      </c>
      <c r="R621" s="309">
        <v>5014</v>
      </c>
      <c r="S621" s="60" t="s">
        <v>211</v>
      </c>
      <c r="T621" s="61">
        <v>200</v>
      </c>
      <c r="U621" s="60" t="s">
        <v>499</v>
      </c>
      <c r="V621" s="1">
        <v>3</v>
      </c>
      <c r="W621" s="1" t="s">
        <v>1464</v>
      </c>
      <c r="X621" s="1" t="s">
        <v>1498</v>
      </c>
      <c r="Y621" s="2">
        <v>0</v>
      </c>
      <c r="Z621" s="2">
        <v>0</v>
      </c>
      <c r="AA621" s="2">
        <v>0</v>
      </c>
      <c r="AB621" s="2">
        <v>0</v>
      </c>
      <c r="AC621" s="2">
        <v>0</v>
      </c>
      <c r="AD621" s="2">
        <v>0</v>
      </c>
      <c r="AE621" s="2">
        <v>0</v>
      </c>
      <c r="AF621" s="2">
        <v>0</v>
      </c>
      <c r="AG621" s="2">
        <v>0</v>
      </c>
      <c r="AH621" s="2">
        <v>193</v>
      </c>
      <c r="AI621" s="2">
        <v>273</v>
      </c>
      <c r="AJ621" s="2">
        <v>109</v>
      </c>
      <c r="AK621" s="2">
        <v>58</v>
      </c>
      <c r="AL621" s="2">
        <v>62</v>
      </c>
      <c r="AM621" s="2">
        <v>112</v>
      </c>
      <c r="AN621" s="2">
        <v>217</v>
      </c>
      <c r="AO621" s="2">
        <v>148</v>
      </c>
      <c r="AP621" s="2">
        <v>92</v>
      </c>
      <c r="AQ621" s="2">
        <v>44</v>
      </c>
      <c r="AR621" s="2">
        <v>54</v>
      </c>
      <c r="AS621" s="2">
        <v>59</v>
      </c>
      <c r="AT621" s="2">
        <v>592</v>
      </c>
      <c r="AU621" s="2">
        <v>259</v>
      </c>
      <c r="AV621" s="2">
        <v>123</v>
      </c>
      <c r="AW621" s="1">
        <v>617</v>
      </c>
    </row>
    <row r="622" spans="1:49" ht="12.75">
      <c r="A622" s="5">
        <v>9920</v>
      </c>
      <c r="B622" s="2" t="s">
        <v>1547</v>
      </c>
      <c r="C622" s="305">
        <v>42</v>
      </c>
      <c r="D622" s="305">
        <v>0</v>
      </c>
      <c r="E622" s="305">
        <v>0</v>
      </c>
      <c r="F622" s="305">
        <v>1094</v>
      </c>
      <c r="G622" s="305">
        <v>0</v>
      </c>
      <c r="H622" s="305">
        <v>0</v>
      </c>
      <c r="I622" s="305">
        <v>0</v>
      </c>
      <c r="J622" s="1" t="s">
        <v>1035</v>
      </c>
      <c r="K622" s="3" t="s">
        <v>982</v>
      </c>
      <c r="L622" s="365"/>
      <c r="M622" s="2">
        <v>1094</v>
      </c>
      <c r="N622" s="311">
        <v>920</v>
      </c>
      <c r="O622" s="310" t="s">
        <v>507</v>
      </c>
      <c r="P622" s="309">
        <v>40</v>
      </c>
      <c r="Q622" s="60" t="s">
        <v>456</v>
      </c>
      <c r="R622" s="309">
        <v>5014</v>
      </c>
      <c r="S622" s="60" t="s">
        <v>211</v>
      </c>
      <c r="T622" s="61">
        <v>200</v>
      </c>
      <c r="U622" s="60" t="s">
        <v>499</v>
      </c>
      <c r="V622" s="1">
        <v>3</v>
      </c>
      <c r="W622" s="1" t="s">
        <v>1464</v>
      </c>
      <c r="X622" s="1" t="s">
        <v>1498</v>
      </c>
      <c r="Y622" s="2">
        <v>0</v>
      </c>
      <c r="Z622" s="2">
        <v>0</v>
      </c>
      <c r="AA622" s="2">
        <v>0</v>
      </c>
      <c r="AB622" s="2">
        <v>0</v>
      </c>
      <c r="AC622" s="2">
        <v>0</v>
      </c>
      <c r="AD622" s="2">
        <v>0</v>
      </c>
      <c r="AE622" s="2">
        <v>0</v>
      </c>
      <c r="AF622" s="2">
        <v>0</v>
      </c>
      <c r="AG622" s="2">
        <v>0</v>
      </c>
      <c r="AH622" s="2">
        <v>0</v>
      </c>
      <c r="AI622" s="2">
        <v>0</v>
      </c>
      <c r="AJ622" s="2">
        <v>0</v>
      </c>
      <c r="AK622" s="2">
        <v>0</v>
      </c>
      <c r="AL622" s="2">
        <v>0</v>
      </c>
      <c r="AM622" s="2">
        <v>0</v>
      </c>
      <c r="AN622" s="2">
        <v>267</v>
      </c>
      <c r="AO622" s="2">
        <v>60</v>
      </c>
      <c r="AP622" s="2">
        <v>189</v>
      </c>
      <c r="AQ622" s="2">
        <v>27</v>
      </c>
      <c r="AR622" s="2">
        <v>33</v>
      </c>
      <c r="AS622" s="2">
        <v>115</v>
      </c>
      <c r="AT622" s="2">
        <v>201</v>
      </c>
      <c r="AU622" s="2">
        <v>160</v>
      </c>
      <c r="AV622" s="2">
        <v>42</v>
      </c>
      <c r="AW622" s="1">
        <v>618</v>
      </c>
    </row>
    <row r="623" spans="1:49" ht="12.75">
      <c r="A623" s="5">
        <v>9920</v>
      </c>
      <c r="B623" s="2" t="s">
        <v>1548</v>
      </c>
      <c r="C623" s="305">
        <v>0</v>
      </c>
      <c r="D623" s="305">
        <v>0</v>
      </c>
      <c r="E623" s="305">
        <v>0</v>
      </c>
      <c r="F623" s="305">
        <v>0</v>
      </c>
      <c r="G623" s="305">
        <v>0</v>
      </c>
      <c r="H623" s="305">
        <v>186</v>
      </c>
      <c r="I623" s="305">
        <v>0</v>
      </c>
      <c r="J623" s="1" t="s">
        <v>768</v>
      </c>
      <c r="K623" s="3" t="s">
        <v>982</v>
      </c>
      <c r="L623" s="365"/>
      <c r="M623" s="2">
        <v>0</v>
      </c>
      <c r="N623" s="311">
        <v>920</v>
      </c>
      <c r="O623" s="310" t="s">
        <v>507</v>
      </c>
      <c r="P623" s="309">
        <v>40</v>
      </c>
      <c r="Q623" s="60" t="s">
        <v>456</v>
      </c>
      <c r="R623" s="309">
        <v>5020</v>
      </c>
      <c r="S623" s="60" t="s">
        <v>205</v>
      </c>
      <c r="T623" s="61">
        <v>170</v>
      </c>
      <c r="U623" s="60" t="s">
        <v>501</v>
      </c>
      <c r="V623" s="1">
        <v>3</v>
      </c>
      <c r="W623" s="1" t="s">
        <v>1464</v>
      </c>
      <c r="X623" s="1" t="s">
        <v>1521</v>
      </c>
      <c r="Y623" s="2">
        <v>0</v>
      </c>
      <c r="Z623" s="2">
        <v>0</v>
      </c>
      <c r="AA623" s="2">
        <v>0</v>
      </c>
      <c r="AB623" s="2">
        <v>0</v>
      </c>
      <c r="AC623" s="2">
        <v>0</v>
      </c>
      <c r="AD623" s="2">
        <v>0</v>
      </c>
      <c r="AE623" s="2">
        <v>0</v>
      </c>
      <c r="AF623" s="2">
        <v>35</v>
      </c>
      <c r="AG623" s="2">
        <v>151</v>
      </c>
      <c r="AH623" s="2">
        <v>0</v>
      </c>
      <c r="AI623" s="2">
        <v>0</v>
      </c>
      <c r="AJ623" s="2">
        <v>0</v>
      </c>
      <c r="AK623" s="2">
        <v>0</v>
      </c>
      <c r="AL623" s="2">
        <v>0</v>
      </c>
      <c r="AM623" s="2">
        <v>0</v>
      </c>
      <c r="AN623" s="2">
        <v>0</v>
      </c>
      <c r="AO623" s="2">
        <v>0</v>
      </c>
      <c r="AP623" s="2">
        <v>0</v>
      </c>
      <c r="AQ623" s="2">
        <v>0</v>
      </c>
      <c r="AR623" s="2">
        <v>0</v>
      </c>
      <c r="AS623" s="2">
        <v>0</v>
      </c>
      <c r="AT623" s="2">
        <v>0</v>
      </c>
      <c r="AU623" s="2">
        <v>0</v>
      </c>
      <c r="AV623" s="2">
        <v>0</v>
      </c>
      <c r="AW623" s="1">
        <v>619</v>
      </c>
    </row>
    <row r="624" spans="1:49" ht="12.75">
      <c r="A624" s="5">
        <v>9920</v>
      </c>
      <c r="B624" s="2" t="s">
        <v>1549</v>
      </c>
      <c r="C624" s="305">
        <v>0</v>
      </c>
      <c r="D624" s="305">
        <v>0</v>
      </c>
      <c r="E624" s="305">
        <v>0</v>
      </c>
      <c r="F624" s="305">
        <v>0</v>
      </c>
      <c r="G624" s="305">
        <v>0</v>
      </c>
      <c r="H624" s="305">
        <v>117</v>
      </c>
      <c r="I624" s="305">
        <v>0</v>
      </c>
      <c r="J624" s="1" t="s">
        <v>770</v>
      </c>
      <c r="K624" s="3" t="s">
        <v>982</v>
      </c>
      <c r="L624" s="365"/>
      <c r="M624" s="2">
        <v>0</v>
      </c>
      <c r="N624" s="311">
        <v>920</v>
      </c>
      <c r="O624" s="310" t="s">
        <v>507</v>
      </c>
      <c r="P624" s="309">
        <v>40</v>
      </c>
      <c r="Q624" s="60" t="s">
        <v>456</v>
      </c>
      <c r="R624" s="309">
        <v>2001</v>
      </c>
      <c r="S624" s="60" t="s">
        <v>203</v>
      </c>
      <c r="T624" s="61">
        <v>200</v>
      </c>
      <c r="U624" s="60" t="s">
        <v>499</v>
      </c>
      <c r="V624" s="1">
        <v>3</v>
      </c>
      <c r="W624" s="1" t="s">
        <v>1464</v>
      </c>
      <c r="X624" s="1" t="s">
        <v>1545</v>
      </c>
      <c r="Y624" s="2">
        <v>0</v>
      </c>
      <c r="Z624" s="2">
        <v>0</v>
      </c>
      <c r="AA624" s="2">
        <v>0</v>
      </c>
      <c r="AB624" s="2">
        <v>0</v>
      </c>
      <c r="AC624" s="2">
        <v>0</v>
      </c>
      <c r="AD624" s="2">
        <v>0</v>
      </c>
      <c r="AE624" s="2">
        <v>0</v>
      </c>
      <c r="AF624" s="2">
        <v>40</v>
      </c>
      <c r="AG624" s="2">
        <v>77</v>
      </c>
      <c r="AH624" s="2">
        <v>0</v>
      </c>
      <c r="AI624" s="2">
        <v>0</v>
      </c>
      <c r="AJ624" s="2">
        <v>0</v>
      </c>
      <c r="AK624" s="2">
        <v>0</v>
      </c>
      <c r="AL624" s="2">
        <v>0</v>
      </c>
      <c r="AM624" s="2">
        <v>0</v>
      </c>
      <c r="AN624" s="2">
        <v>0</v>
      </c>
      <c r="AO624" s="2">
        <v>0</v>
      </c>
      <c r="AP624" s="2">
        <v>0</v>
      </c>
      <c r="AQ624" s="2">
        <v>0</v>
      </c>
      <c r="AR624" s="2">
        <v>0</v>
      </c>
      <c r="AS624" s="2">
        <v>0</v>
      </c>
      <c r="AT624" s="2">
        <v>0</v>
      </c>
      <c r="AU624" s="2">
        <v>0</v>
      </c>
      <c r="AV624" s="2">
        <v>0</v>
      </c>
      <c r="AW624" s="1">
        <v>620</v>
      </c>
    </row>
    <row r="625" spans="1:49" ht="12.75">
      <c r="A625" s="5">
        <v>9920</v>
      </c>
      <c r="B625" s="2" t="s">
        <v>1550</v>
      </c>
      <c r="C625" s="305">
        <v>0</v>
      </c>
      <c r="D625" s="305">
        <v>0</v>
      </c>
      <c r="E625" s="305">
        <v>0</v>
      </c>
      <c r="F625" s="305">
        <v>0</v>
      </c>
      <c r="G625" s="305">
        <v>0</v>
      </c>
      <c r="H625" s="305">
        <v>735</v>
      </c>
      <c r="I625" s="305">
        <v>0</v>
      </c>
      <c r="J625" s="1" t="s">
        <v>772</v>
      </c>
      <c r="K625" s="3" t="s">
        <v>982</v>
      </c>
      <c r="L625" s="365"/>
      <c r="M625" s="2">
        <v>0</v>
      </c>
      <c r="N625" s="311">
        <v>920</v>
      </c>
      <c r="O625" s="310" t="s">
        <v>507</v>
      </c>
      <c r="P625" s="309">
        <v>40</v>
      </c>
      <c r="Q625" s="60" t="s">
        <v>456</v>
      </c>
      <c r="R625" s="309">
        <v>5021</v>
      </c>
      <c r="S625" s="60" t="s">
        <v>201</v>
      </c>
      <c r="T625" s="61">
        <v>130</v>
      </c>
      <c r="U625" s="60" t="s">
        <v>502</v>
      </c>
      <c r="V625" s="1">
        <v>3</v>
      </c>
      <c r="W625" s="1" t="s">
        <v>1464</v>
      </c>
      <c r="X625" s="1" t="s">
        <v>1481</v>
      </c>
      <c r="Y625" s="2">
        <v>0</v>
      </c>
      <c r="Z625" s="2">
        <v>0</v>
      </c>
      <c r="AA625" s="2">
        <v>0</v>
      </c>
      <c r="AB625" s="2">
        <v>0</v>
      </c>
      <c r="AC625" s="2">
        <v>0</v>
      </c>
      <c r="AD625" s="2">
        <v>0</v>
      </c>
      <c r="AE625" s="2">
        <v>0</v>
      </c>
      <c r="AF625" s="2">
        <v>202</v>
      </c>
      <c r="AG625" s="2">
        <v>533</v>
      </c>
      <c r="AH625" s="2">
        <v>0</v>
      </c>
      <c r="AI625" s="2">
        <v>0</v>
      </c>
      <c r="AJ625" s="2">
        <v>0</v>
      </c>
      <c r="AK625" s="2">
        <v>0</v>
      </c>
      <c r="AL625" s="2">
        <v>0</v>
      </c>
      <c r="AM625" s="2">
        <v>0</v>
      </c>
      <c r="AN625" s="2">
        <v>0</v>
      </c>
      <c r="AO625" s="2">
        <v>0</v>
      </c>
      <c r="AP625" s="2">
        <v>0</v>
      </c>
      <c r="AQ625" s="2">
        <v>0</v>
      </c>
      <c r="AR625" s="2">
        <v>0</v>
      </c>
      <c r="AS625" s="2">
        <v>0</v>
      </c>
      <c r="AT625" s="2">
        <v>0</v>
      </c>
      <c r="AU625" s="2">
        <v>0</v>
      </c>
      <c r="AV625" s="2">
        <v>0</v>
      </c>
      <c r="AW625" s="1">
        <v>621</v>
      </c>
    </row>
    <row r="626" spans="1:49" ht="12.75">
      <c r="A626" s="5">
        <v>9920</v>
      </c>
      <c r="B626" s="2" t="s">
        <v>1551</v>
      </c>
      <c r="C626" s="305">
        <v>335</v>
      </c>
      <c r="D626" s="305">
        <v>0</v>
      </c>
      <c r="E626" s="305">
        <v>282</v>
      </c>
      <c r="F626" s="305">
        <v>2772</v>
      </c>
      <c r="G626" s="305">
        <v>0</v>
      </c>
      <c r="H626" s="305">
        <v>773</v>
      </c>
      <c r="I626" s="305">
        <v>0</v>
      </c>
      <c r="J626" s="1" t="s">
        <v>774</v>
      </c>
      <c r="K626" s="3" t="s">
        <v>982</v>
      </c>
      <c r="L626" s="365"/>
      <c r="M626" s="2">
        <v>2772</v>
      </c>
      <c r="N626" s="311">
        <v>920</v>
      </c>
      <c r="O626" s="310" t="s">
        <v>507</v>
      </c>
      <c r="P626" s="309">
        <v>40</v>
      </c>
      <c r="Q626" s="60" t="s">
        <v>456</v>
      </c>
      <c r="R626" s="309">
        <v>5011</v>
      </c>
      <c r="S626" s="60" t="s">
        <v>209</v>
      </c>
      <c r="T626" s="61">
        <v>210</v>
      </c>
      <c r="U626" s="60" t="s">
        <v>500</v>
      </c>
      <c r="V626" s="1">
        <v>3</v>
      </c>
      <c r="W626" s="1" t="s">
        <v>1464</v>
      </c>
      <c r="X626" s="1" t="s">
        <v>1467</v>
      </c>
      <c r="Y626" s="2">
        <v>0</v>
      </c>
      <c r="Z626" s="2">
        <v>0</v>
      </c>
      <c r="AA626" s="2">
        <v>0</v>
      </c>
      <c r="AB626" s="2">
        <v>0</v>
      </c>
      <c r="AC626" s="2">
        <v>0</v>
      </c>
      <c r="AD626" s="2">
        <v>0</v>
      </c>
      <c r="AE626" s="2">
        <v>0</v>
      </c>
      <c r="AF626" s="2">
        <v>0</v>
      </c>
      <c r="AG626" s="2">
        <v>0</v>
      </c>
      <c r="AH626" s="2">
        <v>194</v>
      </c>
      <c r="AI626" s="2">
        <v>297</v>
      </c>
      <c r="AJ626" s="2">
        <v>282</v>
      </c>
      <c r="AK626" s="2">
        <v>145</v>
      </c>
      <c r="AL626" s="2">
        <v>117</v>
      </c>
      <c r="AM626" s="2">
        <v>327</v>
      </c>
      <c r="AN626" s="2">
        <v>369</v>
      </c>
      <c r="AO626" s="2">
        <v>222</v>
      </c>
      <c r="AP626" s="2">
        <v>142</v>
      </c>
      <c r="AQ626" s="2">
        <v>141</v>
      </c>
      <c r="AR626" s="2">
        <v>159</v>
      </c>
      <c r="AS626" s="2">
        <v>226</v>
      </c>
      <c r="AT626" s="2">
        <v>219</v>
      </c>
      <c r="AU626" s="2">
        <v>370</v>
      </c>
      <c r="AV626" s="2">
        <v>335</v>
      </c>
      <c r="AW626" s="1">
        <v>622</v>
      </c>
    </row>
    <row r="627" spans="1:49" ht="12.75">
      <c r="A627" s="5">
        <v>9920</v>
      </c>
      <c r="B627" s="2" t="s">
        <v>1552</v>
      </c>
      <c r="C627" s="305">
        <v>195</v>
      </c>
      <c r="D627" s="305">
        <v>0</v>
      </c>
      <c r="E627" s="305">
        <v>380</v>
      </c>
      <c r="F627" s="305">
        <v>3315</v>
      </c>
      <c r="G627" s="305">
        <v>0</v>
      </c>
      <c r="H627" s="305">
        <v>707</v>
      </c>
      <c r="I627" s="305">
        <v>0</v>
      </c>
      <c r="J627" s="1" t="s">
        <v>776</v>
      </c>
      <c r="K627" s="3" t="s">
        <v>982</v>
      </c>
      <c r="L627" s="365"/>
      <c r="M627" s="2">
        <v>3315</v>
      </c>
      <c r="N627" s="311">
        <v>920</v>
      </c>
      <c r="O627" s="310" t="s">
        <v>507</v>
      </c>
      <c r="P627" s="309">
        <v>40</v>
      </c>
      <c r="Q627" s="60" t="s">
        <v>456</v>
      </c>
      <c r="R627" s="309">
        <v>5011</v>
      </c>
      <c r="S627" s="60" t="s">
        <v>209</v>
      </c>
      <c r="T627" s="61">
        <v>210</v>
      </c>
      <c r="U627" s="60" t="s">
        <v>500</v>
      </c>
      <c r="V627" s="1">
        <v>3</v>
      </c>
      <c r="W627" s="1" t="s">
        <v>1464</v>
      </c>
      <c r="X627" s="1" t="s">
        <v>1467</v>
      </c>
      <c r="Y627" s="2">
        <v>0</v>
      </c>
      <c r="Z627" s="2">
        <v>0</v>
      </c>
      <c r="AA627" s="2">
        <v>0</v>
      </c>
      <c r="AB627" s="2">
        <v>0</v>
      </c>
      <c r="AC627" s="2">
        <v>0</v>
      </c>
      <c r="AD627" s="2">
        <v>0</v>
      </c>
      <c r="AE627" s="2">
        <v>0</v>
      </c>
      <c r="AF627" s="2">
        <v>0</v>
      </c>
      <c r="AG627" s="2">
        <v>0</v>
      </c>
      <c r="AH627" s="2">
        <v>119</v>
      </c>
      <c r="AI627" s="2">
        <v>208</v>
      </c>
      <c r="AJ627" s="2">
        <v>380</v>
      </c>
      <c r="AK627" s="2">
        <v>348</v>
      </c>
      <c r="AL627" s="2">
        <v>337</v>
      </c>
      <c r="AM627" s="2">
        <v>490</v>
      </c>
      <c r="AN627" s="2">
        <v>465</v>
      </c>
      <c r="AO627" s="2">
        <v>232</v>
      </c>
      <c r="AP627" s="2">
        <v>200</v>
      </c>
      <c r="AQ627" s="2">
        <v>201</v>
      </c>
      <c r="AR627" s="2">
        <v>202</v>
      </c>
      <c r="AS627" s="2">
        <v>205</v>
      </c>
      <c r="AT627" s="2">
        <v>167</v>
      </c>
      <c r="AU627" s="2">
        <v>273</v>
      </c>
      <c r="AV627" s="2">
        <v>195</v>
      </c>
      <c r="AW627" s="1">
        <v>623</v>
      </c>
    </row>
    <row r="628" spans="1:49" ht="12.75">
      <c r="A628" s="5">
        <v>9920</v>
      </c>
      <c r="B628" s="2" t="s">
        <v>1553</v>
      </c>
      <c r="C628" s="305">
        <v>76</v>
      </c>
      <c r="D628" s="305">
        <v>0</v>
      </c>
      <c r="E628" s="305">
        <v>548</v>
      </c>
      <c r="F628" s="305">
        <v>3796</v>
      </c>
      <c r="G628" s="305">
        <v>0</v>
      </c>
      <c r="H628" s="305">
        <v>1285</v>
      </c>
      <c r="I628" s="305">
        <v>0</v>
      </c>
      <c r="J628" s="1" t="s">
        <v>778</v>
      </c>
      <c r="K628" s="3" t="s">
        <v>982</v>
      </c>
      <c r="L628" s="365"/>
      <c r="M628" s="2">
        <v>3796</v>
      </c>
      <c r="N628" s="311">
        <v>920</v>
      </c>
      <c r="O628" s="310" t="s">
        <v>507</v>
      </c>
      <c r="P628" s="309">
        <v>40</v>
      </c>
      <c r="Q628" s="60" t="s">
        <v>456</v>
      </c>
      <c r="R628" s="309">
        <v>5012</v>
      </c>
      <c r="S628" s="60" t="s">
        <v>212</v>
      </c>
      <c r="T628" s="61">
        <v>211</v>
      </c>
      <c r="U628" s="60" t="s">
        <v>506</v>
      </c>
      <c r="V628" s="1">
        <v>3</v>
      </c>
      <c r="W628" s="1" t="s">
        <v>1464</v>
      </c>
      <c r="X628" s="1" t="s">
        <v>1465</v>
      </c>
      <c r="Y628" s="2">
        <v>0</v>
      </c>
      <c r="Z628" s="2">
        <v>0</v>
      </c>
      <c r="AA628" s="2">
        <v>0</v>
      </c>
      <c r="AB628" s="2">
        <v>0</v>
      </c>
      <c r="AC628" s="2">
        <v>0</v>
      </c>
      <c r="AD628" s="2">
        <v>0</v>
      </c>
      <c r="AE628" s="2">
        <v>0</v>
      </c>
      <c r="AF628" s="2">
        <v>0</v>
      </c>
      <c r="AG628" s="2">
        <v>0</v>
      </c>
      <c r="AH628" s="2">
        <v>254</v>
      </c>
      <c r="AI628" s="2">
        <v>483</v>
      </c>
      <c r="AJ628" s="2">
        <v>548</v>
      </c>
      <c r="AK628" s="2">
        <v>476</v>
      </c>
      <c r="AL628" s="2">
        <v>273</v>
      </c>
      <c r="AM628" s="2">
        <v>689</v>
      </c>
      <c r="AN628" s="2">
        <v>650</v>
      </c>
      <c r="AO628" s="2">
        <v>332</v>
      </c>
      <c r="AP628" s="2">
        <v>319</v>
      </c>
      <c r="AQ628" s="2">
        <v>219</v>
      </c>
      <c r="AR628" s="2">
        <v>123</v>
      </c>
      <c r="AS628" s="2">
        <v>221</v>
      </c>
      <c r="AT628" s="2">
        <v>180</v>
      </c>
      <c r="AU628" s="2">
        <v>238</v>
      </c>
      <c r="AV628" s="2">
        <v>76</v>
      </c>
      <c r="AW628" s="1">
        <v>624</v>
      </c>
    </row>
    <row r="629" spans="1:49" ht="12.75">
      <c r="A629" s="5">
        <v>9920</v>
      </c>
      <c r="B629" s="2" t="s">
        <v>1554</v>
      </c>
      <c r="C629" s="305">
        <v>0</v>
      </c>
      <c r="D629" s="305">
        <v>0</v>
      </c>
      <c r="E629" s="305">
        <v>0</v>
      </c>
      <c r="F629" s="305">
        <v>0</v>
      </c>
      <c r="G629" s="305">
        <v>0</v>
      </c>
      <c r="H629" s="305">
        <v>815</v>
      </c>
      <c r="I629" s="305">
        <v>0</v>
      </c>
      <c r="J629" s="1" t="s">
        <v>781</v>
      </c>
      <c r="K629" s="3" t="s">
        <v>982</v>
      </c>
      <c r="L629" s="365"/>
      <c r="M629" s="2">
        <v>0</v>
      </c>
      <c r="N629" s="311">
        <v>920</v>
      </c>
      <c r="O629" s="310" t="s">
        <v>507</v>
      </c>
      <c r="P629" s="309">
        <v>40</v>
      </c>
      <c r="Q629" s="60" t="s">
        <v>456</v>
      </c>
      <c r="R629" s="309">
        <v>5022</v>
      </c>
      <c r="S629" s="60" t="s">
        <v>202</v>
      </c>
      <c r="T629" s="61">
        <v>180</v>
      </c>
      <c r="U629" s="60" t="s">
        <v>385</v>
      </c>
      <c r="V629" s="1">
        <v>3</v>
      </c>
      <c r="W629" s="1" t="s">
        <v>1464</v>
      </c>
      <c r="X629" s="1" t="s">
        <v>1524</v>
      </c>
      <c r="Y629" s="2">
        <v>0</v>
      </c>
      <c r="Z629" s="2">
        <v>0</v>
      </c>
      <c r="AA629" s="2">
        <v>0</v>
      </c>
      <c r="AB629" s="2">
        <v>0</v>
      </c>
      <c r="AC629" s="2">
        <v>0</v>
      </c>
      <c r="AD629" s="2">
        <v>0</v>
      </c>
      <c r="AE629" s="2">
        <v>0</v>
      </c>
      <c r="AF629" s="2">
        <v>266</v>
      </c>
      <c r="AG629" s="2">
        <v>549</v>
      </c>
      <c r="AH629" s="2">
        <v>0</v>
      </c>
      <c r="AI629" s="2">
        <v>0</v>
      </c>
      <c r="AJ629" s="2">
        <v>0</v>
      </c>
      <c r="AK629" s="2">
        <v>0</v>
      </c>
      <c r="AL629" s="2">
        <v>0</v>
      </c>
      <c r="AM629" s="2">
        <v>0</v>
      </c>
      <c r="AN629" s="2">
        <v>0</v>
      </c>
      <c r="AO629" s="2">
        <v>0</v>
      </c>
      <c r="AP629" s="2">
        <v>0</v>
      </c>
      <c r="AQ629" s="2">
        <v>0</v>
      </c>
      <c r="AR629" s="2">
        <v>0</v>
      </c>
      <c r="AS629" s="2">
        <v>0</v>
      </c>
      <c r="AT629" s="2">
        <v>0</v>
      </c>
      <c r="AU629" s="2">
        <v>0</v>
      </c>
      <c r="AV629" s="2">
        <v>0</v>
      </c>
      <c r="AW629" s="1">
        <v>625</v>
      </c>
    </row>
    <row r="630" spans="1:49" ht="12.75">
      <c r="A630" s="5">
        <v>9920</v>
      </c>
      <c r="B630" s="2" t="s">
        <v>1555</v>
      </c>
      <c r="C630" s="305">
        <v>0</v>
      </c>
      <c r="D630" s="305">
        <v>0</v>
      </c>
      <c r="E630" s="305">
        <v>0</v>
      </c>
      <c r="F630" s="305">
        <v>0</v>
      </c>
      <c r="G630" s="305">
        <v>0</v>
      </c>
      <c r="H630" s="305">
        <v>75</v>
      </c>
      <c r="I630" s="305">
        <v>0</v>
      </c>
      <c r="J630" s="1" t="s">
        <v>782</v>
      </c>
      <c r="K630" s="3" t="s">
        <v>982</v>
      </c>
      <c r="L630" s="365"/>
      <c r="M630" s="2">
        <v>0</v>
      </c>
      <c r="N630" s="311">
        <v>920</v>
      </c>
      <c r="O630" s="310" t="s">
        <v>507</v>
      </c>
      <c r="P630" s="309">
        <v>40</v>
      </c>
      <c r="Q630" s="60" t="s">
        <v>456</v>
      </c>
      <c r="R630" s="309">
        <v>5022</v>
      </c>
      <c r="S630" s="60" t="s">
        <v>202</v>
      </c>
      <c r="T630" s="61">
        <v>180</v>
      </c>
      <c r="U630" s="60" t="s">
        <v>385</v>
      </c>
      <c r="V630" s="1">
        <v>3</v>
      </c>
      <c r="W630" s="1" t="s">
        <v>1464</v>
      </c>
      <c r="X630" s="1" t="s">
        <v>1528</v>
      </c>
      <c r="Y630" s="2">
        <v>0</v>
      </c>
      <c r="Z630" s="2">
        <v>0</v>
      </c>
      <c r="AA630" s="2">
        <v>0</v>
      </c>
      <c r="AB630" s="2">
        <v>0</v>
      </c>
      <c r="AC630" s="2">
        <v>0</v>
      </c>
      <c r="AD630" s="2">
        <v>0</v>
      </c>
      <c r="AE630" s="2">
        <v>0</v>
      </c>
      <c r="AF630" s="2">
        <v>19</v>
      </c>
      <c r="AG630" s="2">
        <v>56</v>
      </c>
      <c r="AH630" s="2">
        <v>0</v>
      </c>
      <c r="AI630" s="2">
        <v>0</v>
      </c>
      <c r="AJ630" s="2">
        <v>0</v>
      </c>
      <c r="AK630" s="2">
        <v>0</v>
      </c>
      <c r="AL630" s="2">
        <v>0</v>
      </c>
      <c r="AM630" s="2">
        <v>0</v>
      </c>
      <c r="AN630" s="2">
        <v>0</v>
      </c>
      <c r="AO630" s="2">
        <v>0</v>
      </c>
      <c r="AP630" s="2">
        <v>0</v>
      </c>
      <c r="AQ630" s="2">
        <v>0</v>
      </c>
      <c r="AR630" s="2">
        <v>0</v>
      </c>
      <c r="AS630" s="2">
        <v>0</v>
      </c>
      <c r="AT630" s="2">
        <v>0</v>
      </c>
      <c r="AU630" s="2">
        <v>0</v>
      </c>
      <c r="AV630" s="2">
        <v>0</v>
      </c>
      <c r="AW630" s="1">
        <v>626</v>
      </c>
    </row>
    <row r="631" spans="1:49" ht="12.75">
      <c r="A631" s="5">
        <v>9920</v>
      </c>
      <c r="B631" s="2" t="s">
        <v>1556</v>
      </c>
      <c r="C631" s="305">
        <v>0</v>
      </c>
      <c r="D631" s="305">
        <v>0</v>
      </c>
      <c r="E631" s="305">
        <v>0</v>
      </c>
      <c r="F631" s="305">
        <v>0</v>
      </c>
      <c r="G631" s="305">
        <v>0</v>
      </c>
      <c r="H631" s="305">
        <v>102</v>
      </c>
      <c r="I631" s="305">
        <v>0</v>
      </c>
      <c r="J631" s="1" t="s">
        <v>783</v>
      </c>
      <c r="K631" s="3" t="s">
        <v>982</v>
      </c>
      <c r="L631" s="365"/>
      <c r="M631" s="2">
        <v>0</v>
      </c>
      <c r="N631" s="311">
        <v>920</v>
      </c>
      <c r="O631" s="310" t="s">
        <v>507</v>
      </c>
      <c r="P631" s="309">
        <v>40</v>
      </c>
      <c r="Q631" s="60" t="s">
        <v>456</v>
      </c>
      <c r="R631" s="309">
        <v>5022</v>
      </c>
      <c r="S631" s="60" t="s">
        <v>202</v>
      </c>
      <c r="T631" s="61">
        <v>180</v>
      </c>
      <c r="U631" s="60" t="s">
        <v>385</v>
      </c>
      <c r="V631" s="1">
        <v>3</v>
      </c>
      <c r="W631" s="1" t="s">
        <v>1464</v>
      </c>
      <c r="X631" s="1" t="s">
        <v>1528</v>
      </c>
      <c r="Y631" s="2">
        <v>0</v>
      </c>
      <c r="Z631" s="2">
        <v>0</v>
      </c>
      <c r="AA631" s="2">
        <v>0</v>
      </c>
      <c r="AB631" s="2">
        <v>0</v>
      </c>
      <c r="AC631" s="2">
        <v>0</v>
      </c>
      <c r="AD631" s="2">
        <v>0</v>
      </c>
      <c r="AE631" s="2">
        <v>0</v>
      </c>
      <c r="AF631" s="2">
        <v>27</v>
      </c>
      <c r="AG631" s="2">
        <v>75</v>
      </c>
      <c r="AH631" s="2">
        <v>0</v>
      </c>
      <c r="AI631" s="2">
        <v>0</v>
      </c>
      <c r="AJ631" s="2">
        <v>0</v>
      </c>
      <c r="AK631" s="2">
        <v>0</v>
      </c>
      <c r="AL631" s="2">
        <v>0</v>
      </c>
      <c r="AM631" s="2">
        <v>0</v>
      </c>
      <c r="AN631" s="2">
        <v>0</v>
      </c>
      <c r="AO631" s="2">
        <v>0</v>
      </c>
      <c r="AP631" s="2">
        <v>0</v>
      </c>
      <c r="AQ631" s="2">
        <v>0</v>
      </c>
      <c r="AR631" s="2">
        <v>0</v>
      </c>
      <c r="AS631" s="2">
        <v>0</v>
      </c>
      <c r="AT631" s="2">
        <v>0</v>
      </c>
      <c r="AU631" s="2">
        <v>0</v>
      </c>
      <c r="AV631" s="2">
        <v>0</v>
      </c>
      <c r="AW631" s="1">
        <v>627</v>
      </c>
    </row>
    <row r="632" spans="1:49" ht="12.75">
      <c r="A632" s="5">
        <v>9920</v>
      </c>
      <c r="B632" s="2" t="s">
        <v>1557</v>
      </c>
      <c r="C632" s="305">
        <v>0</v>
      </c>
      <c r="D632" s="305">
        <v>0</v>
      </c>
      <c r="E632" s="305">
        <v>0</v>
      </c>
      <c r="F632" s="305">
        <v>0</v>
      </c>
      <c r="G632" s="305">
        <v>0</v>
      </c>
      <c r="H632" s="305">
        <v>1138</v>
      </c>
      <c r="I632" s="305">
        <v>0</v>
      </c>
      <c r="J632" s="1" t="s">
        <v>784</v>
      </c>
      <c r="K632" s="3" t="s">
        <v>982</v>
      </c>
      <c r="L632" s="365"/>
      <c r="M632" s="2">
        <v>0</v>
      </c>
      <c r="N632" s="311">
        <v>920</v>
      </c>
      <c r="O632" s="310" t="s">
        <v>507</v>
      </c>
      <c r="P632" s="309">
        <v>40</v>
      </c>
      <c r="Q632" s="60" t="s">
        <v>456</v>
      </c>
      <c r="R632" s="309">
        <v>5022</v>
      </c>
      <c r="S632" s="60" t="s">
        <v>202</v>
      </c>
      <c r="T632" s="61">
        <v>180</v>
      </c>
      <c r="U632" s="60" t="s">
        <v>385</v>
      </c>
      <c r="V632" s="1">
        <v>3</v>
      </c>
      <c r="W632" s="1" t="s">
        <v>1464</v>
      </c>
      <c r="X632" s="1" t="s">
        <v>1526</v>
      </c>
      <c r="Y632" s="2">
        <v>0</v>
      </c>
      <c r="Z632" s="2">
        <v>0</v>
      </c>
      <c r="AA632" s="2">
        <v>0</v>
      </c>
      <c r="AB632" s="2">
        <v>0</v>
      </c>
      <c r="AC632" s="2">
        <v>0</v>
      </c>
      <c r="AD632" s="2">
        <v>0</v>
      </c>
      <c r="AE632" s="2">
        <v>0</v>
      </c>
      <c r="AF632" s="2">
        <v>338</v>
      </c>
      <c r="AG632" s="2">
        <v>800</v>
      </c>
      <c r="AH632" s="2">
        <v>0</v>
      </c>
      <c r="AI632" s="2">
        <v>0</v>
      </c>
      <c r="AJ632" s="2">
        <v>0</v>
      </c>
      <c r="AK632" s="2">
        <v>0</v>
      </c>
      <c r="AL632" s="2">
        <v>0</v>
      </c>
      <c r="AM632" s="2">
        <v>0</v>
      </c>
      <c r="AN632" s="2">
        <v>0</v>
      </c>
      <c r="AO632" s="2">
        <v>0</v>
      </c>
      <c r="AP632" s="2">
        <v>0</v>
      </c>
      <c r="AQ632" s="2">
        <v>0</v>
      </c>
      <c r="AR632" s="2">
        <v>0</v>
      </c>
      <c r="AS632" s="2">
        <v>0</v>
      </c>
      <c r="AT632" s="2">
        <v>0</v>
      </c>
      <c r="AU632" s="2">
        <v>0</v>
      </c>
      <c r="AV632" s="2">
        <v>0</v>
      </c>
      <c r="AW632" s="1">
        <v>628</v>
      </c>
    </row>
    <row r="633" spans="1:49" ht="12.75">
      <c r="A633" s="5">
        <v>9920</v>
      </c>
      <c r="B633" s="2" t="s">
        <v>1558</v>
      </c>
      <c r="C633" s="305">
        <v>0</v>
      </c>
      <c r="D633" s="305">
        <v>0</v>
      </c>
      <c r="E633" s="305">
        <v>0</v>
      </c>
      <c r="F633" s="305">
        <v>0</v>
      </c>
      <c r="G633" s="305">
        <v>0</v>
      </c>
      <c r="H633" s="305">
        <v>180</v>
      </c>
      <c r="I633" s="305">
        <v>0</v>
      </c>
      <c r="J633" s="1" t="s">
        <v>785</v>
      </c>
      <c r="K633" s="3" t="s">
        <v>982</v>
      </c>
      <c r="L633" s="365"/>
      <c r="M633" s="2">
        <v>0</v>
      </c>
      <c r="N633" s="311">
        <v>920</v>
      </c>
      <c r="O633" s="310" t="s">
        <v>507</v>
      </c>
      <c r="P633" s="309">
        <v>40</v>
      </c>
      <c r="Q633" s="60" t="s">
        <v>456</v>
      </c>
      <c r="R633" s="309">
        <v>5022</v>
      </c>
      <c r="S633" s="60" t="s">
        <v>202</v>
      </c>
      <c r="T633" s="61">
        <v>180</v>
      </c>
      <c r="U633" s="60" t="s">
        <v>385</v>
      </c>
      <c r="V633" s="1">
        <v>3</v>
      </c>
      <c r="W633" s="1" t="s">
        <v>1464</v>
      </c>
      <c r="X633" s="1" t="s">
        <v>1528</v>
      </c>
      <c r="Y633" s="2">
        <v>0</v>
      </c>
      <c r="Z633" s="2">
        <v>0</v>
      </c>
      <c r="AA633" s="2">
        <v>0</v>
      </c>
      <c r="AB633" s="2">
        <v>0</v>
      </c>
      <c r="AC633" s="2">
        <v>0</v>
      </c>
      <c r="AD633" s="2">
        <v>0</v>
      </c>
      <c r="AE633" s="2">
        <v>0</v>
      </c>
      <c r="AF633" s="2">
        <v>57</v>
      </c>
      <c r="AG633" s="2">
        <v>123</v>
      </c>
      <c r="AH633" s="2">
        <v>0</v>
      </c>
      <c r="AI633" s="2">
        <v>0</v>
      </c>
      <c r="AJ633" s="2">
        <v>0</v>
      </c>
      <c r="AK633" s="2">
        <v>0</v>
      </c>
      <c r="AL633" s="2">
        <v>0</v>
      </c>
      <c r="AM633" s="2">
        <v>0</v>
      </c>
      <c r="AN633" s="2">
        <v>0</v>
      </c>
      <c r="AO633" s="2">
        <v>0</v>
      </c>
      <c r="AP633" s="2">
        <v>0</v>
      </c>
      <c r="AQ633" s="2">
        <v>0</v>
      </c>
      <c r="AR633" s="2">
        <v>0</v>
      </c>
      <c r="AS633" s="2">
        <v>0</v>
      </c>
      <c r="AT633" s="2">
        <v>0</v>
      </c>
      <c r="AU633" s="2">
        <v>0</v>
      </c>
      <c r="AV633" s="2">
        <v>0</v>
      </c>
      <c r="AW633" s="1">
        <v>629</v>
      </c>
    </row>
    <row r="634" spans="1:49" ht="12.75">
      <c r="A634" s="5">
        <v>9920</v>
      </c>
      <c r="B634" s="2" t="s">
        <v>1559</v>
      </c>
      <c r="C634" s="305">
        <v>0</v>
      </c>
      <c r="D634" s="305">
        <v>0</v>
      </c>
      <c r="E634" s="305">
        <v>0</v>
      </c>
      <c r="F634" s="305">
        <v>0</v>
      </c>
      <c r="G634" s="305">
        <v>0</v>
      </c>
      <c r="H634" s="305">
        <v>533</v>
      </c>
      <c r="I634" s="305">
        <v>0</v>
      </c>
      <c r="J634" s="1" t="s">
        <v>787</v>
      </c>
      <c r="K634" s="3" t="s">
        <v>982</v>
      </c>
      <c r="L634" s="365"/>
      <c r="M634" s="2">
        <v>0</v>
      </c>
      <c r="N634" s="311">
        <v>920</v>
      </c>
      <c r="O634" s="310" t="s">
        <v>507</v>
      </c>
      <c r="P634" s="309">
        <v>40</v>
      </c>
      <c r="Q634" s="60" t="s">
        <v>456</v>
      </c>
      <c r="R634" s="309">
        <v>5024</v>
      </c>
      <c r="S634" s="60" t="s">
        <v>155</v>
      </c>
      <c r="T634" s="61">
        <v>190</v>
      </c>
      <c r="U634" s="60" t="s">
        <v>503</v>
      </c>
      <c r="V634" s="1">
        <v>3</v>
      </c>
      <c r="W634" s="1" t="s">
        <v>1464</v>
      </c>
      <c r="X634" s="1" t="s">
        <v>1530</v>
      </c>
      <c r="Y634" s="2">
        <v>0</v>
      </c>
      <c r="Z634" s="2">
        <v>0</v>
      </c>
      <c r="AA634" s="2">
        <v>0</v>
      </c>
      <c r="AB634" s="2">
        <v>0</v>
      </c>
      <c r="AC634" s="2">
        <v>0</v>
      </c>
      <c r="AD634" s="2">
        <v>0</v>
      </c>
      <c r="AE634" s="2">
        <v>0</v>
      </c>
      <c r="AF634" s="2">
        <v>146</v>
      </c>
      <c r="AG634" s="2">
        <v>387</v>
      </c>
      <c r="AH634" s="2">
        <v>0</v>
      </c>
      <c r="AI634" s="2">
        <v>0</v>
      </c>
      <c r="AJ634" s="2">
        <v>0</v>
      </c>
      <c r="AK634" s="2">
        <v>0</v>
      </c>
      <c r="AL634" s="2">
        <v>0</v>
      </c>
      <c r="AM634" s="2">
        <v>0</v>
      </c>
      <c r="AN634" s="2">
        <v>0</v>
      </c>
      <c r="AO634" s="2">
        <v>0</v>
      </c>
      <c r="AP634" s="2">
        <v>0</v>
      </c>
      <c r="AQ634" s="2">
        <v>0</v>
      </c>
      <c r="AR634" s="2">
        <v>0</v>
      </c>
      <c r="AS634" s="2">
        <v>0</v>
      </c>
      <c r="AT634" s="2">
        <v>0</v>
      </c>
      <c r="AU634" s="2">
        <v>0</v>
      </c>
      <c r="AV634" s="2">
        <v>0</v>
      </c>
      <c r="AW634" s="1">
        <v>630</v>
      </c>
    </row>
    <row r="635" spans="1:49" ht="12.75">
      <c r="A635" s="5">
        <v>9920</v>
      </c>
      <c r="B635" s="2" t="s">
        <v>1560</v>
      </c>
      <c r="C635" s="305">
        <v>0</v>
      </c>
      <c r="D635" s="305">
        <v>0</v>
      </c>
      <c r="E635" s="305">
        <v>0</v>
      </c>
      <c r="F635" s="305">
        <v>0</v>
      </c>
      <c r="G635" s="305">
        <v>0</v>
      </c>
      <c r="H635" s="305">
        <v>114</v>
      </c>
      <c r="I635" s="305">
        <v>0</v>
      </c>
      <c r="J635" s="1" t="s">
        <v>790</v>
      </c>
      <c r="K635" s="3" t="s">
        <v>982</v>
      </c>
      <c r="L635" s="365"/>
      <c r="M635" s="2">
        <v>0</v>
      </c>
      <c r="N635" s="311">
        <v>920</v>
      </c>
      <c r="O635" s="310" t="s">
        <v>507</v>
      </c>
      <c r="P635" s="309">
        <v>40</v>
      </c>
      <c r="Q635" s="60" t="s">
        <v>456</v>
      </c>
      <c r="R635" s="309">
        <v>5024</v>
      </c>
      <c r="S635" s="60" t="s">
        <v>155</v>
      </c>
      <c r="T635" s="61">
        <v>190</v>
      </c>
      <c r="U635" s="60" t="s">
        <v>503</v>
      </c>
      <c r="V635" s="1">
        <v>3</v>
      </c>
      <c r="W635" s="1" t="s">
        <v>1464</v>
      </c>
      <c r="X635" s="1" t="s">
        <v>1533</v>
      </c>
      <c r="Y635" s="2">
        <v>0</v>
      </c>
      <c r="Z635" s="2">
        <v>0</v>
      </c>
      <c r="AA635" s="2">
        <v>0</v>
      </c>
      <c r="AB635" s="2">
        <v>0</v>
      </c>
      <c r="AC635" s="2">
        <v>0</v>
      </c>
      <c r="AD635" s="2">
        <v>0</v>
      </c>
      <c r="AE635" s="2">
        <v>0</v>
      </c>
      <c r="AF635" s="2">
        <v>57</v>
      </c>
      <c r="AG635" s="2">
        <v>57</v>
      </c>
      <c r="AH635" s="2">
        <v>0</v>
      </c>
      <c r="AI635" s="2">
        <v>0</v>
      </c>
      <c r="AJ635" s="2">
        <v>0</v>
      </c>
      <c r="AK635" s="2">
        <v>0</v>
      </c>
      <c r="AL635" s="2">
        <v>0</v>
      </c>
      <c r="AM635" s="2">
        <v>0</v>
      </c>
      <c r="AN635" s="2">
        <v>0</v>
      </c>
      <c r="AO635" s="2">
        <v>0</v>
      </c>
      <c r="AP635" s="2">
        <v>0</v>
      </c>
      <c r="AQ635" s="2">
        <v>0</v>
      </c>
      <c r="AR635" s="2">
        <v>0</v>
      </c>
      <c r="AS635" s="2">
        <v>0</v>
      </c>
      <c r="AT635" s="2">
        <v>0</v>
      </c>
      <c r="AU635" s="2">
        <v>0</v>
      </c>
      <c r="AV635" s="2">
        <v>0</v>
      </c>
      <c r="AW635" s="1">
        <v>631</v>
      </c>
    </row>
    <row r="636" spans="1:49" ht="12.75">
      <c r="A636" s="5">
        <v>9920</v>
      </c>
      <c r="B636" s="2" t="s">
        <v>1561</v>
      </c>
      <c r="C636" s="305">
        <v>0</v>
      </c>
      <c r="D636" s="305">
        <v>0</v>
      </c>
      <c r="E636" s="305">
        <v>0</v>
      </c>
      <c r="F636" s="305">
        <v>0</v>
      </c>
      <c r="G636" s="305">
        <v>0</v>
      </c>
      <c r="H636" s="305">
        <v>235</v>
      </c>
      <c r="I636" s="305">
        <v>0</v>
      </c>
      <c r="J636" s="1" t="s">
        <v>791</v>
      </c>
      <c r="K636" s="3" t="s">
        <v>982</v>
      </c>
      <c r="L636" s="365"/>
      <c r="M636" s="2">
        <v>0</v>
      </c>
      <c r="N636" s="311">
        <v>920</v>
      </c>
      <c r="O636" s="310" t="s">
        <v>507</v>
      </c>
      <c r="P636" s="309">
        <v>40</v>
      </c>
      <c r="Q636" s="60" t="s">
        <v>456</v>
      </c>
      <c r="R636" s="309">
        <v>5024</v>
      </c>
      <c r="S636" s="60" t="s">
        <v>155</v>
      </c>
      <c r="T636" s="61">
        <v>200</v>
      </c>
      <c r="U636" s="60" t="s">
        <v>499</v>
      </c>
      <c r="V636" s="1">
        <v>3</v>
      </c>
      <c r="W636" s="1" t="s">
        <v>1464</v>
      </c>
      <c r="X636" s="1" t="s">
        <v>1542</v>
      </c>
      <c r="Y636" s="2">
        <v>0</v>
      </c>
      <c r="Z636" s="2">
        <v>0</v>
      </c>
      <c r="AA636" s="2">
        <v>0</v>
      </c>
      <c r="AB636" s="2">
        <v>0</v>
      </c>
      <c r="AC636" s="2">
        <v>0</v>
      </c>
      <c r="AD636" s="2">
        <v>0</v>
      </c>
      <c r="AE636" s="2">
        <v>0</v>
      </c>
      <c r="AF636" s="2">
        <v>45</v>
      </c>
      <c r="AG636" s="2">
        <v>190</v>
      </c>
      <c r="AH636" s="2">
        <v>0</v>
      </c>
      <c r="AI636" s="2">
        <v>0</v>
      </c>
      <c r="AJ636" s="2">
        <v>0</v>
      </c>
      <c r="AK636" s="2">
        <v>0</v>
      </c>
      <c r="AL636" s="2">
        <v>0</v>
      </c>
      <c r="AM636" s="2">
        <v>0</v>
      </c>
      <c r="AN636" s="2">
        <v>0</v>
      </c>
      <c r="AO636" s="2">
        <v>0</v>
      </c>
      <c r="AP636" s="2">
        <v>0</v>
      </c>
      <c r="AQ636" s="2">
        <v>0</v>
      </c>
      <c r="AR636" s="2">
        <v>0</v>
      </c>
      <c r="AS636" s="2">
        <v>0</v>
      </c>
      <c r="AT636" s="2">
        <v>0</v>
      </c>
      <c r="AU636" s="2">
        <v>0</v>
      </c>
      <c r="AV636" s="2">
        <v>0</v>
      </c>
      <c r="AW636" s="1">
        <v>632</v>
      </c>
    </row>
    <row r="637" spans="1:49" ht="12.75">
      <c r="A637" s="5">
        <v>9920</v>
      </c>
      <c r="B637" s="2" t="s">
        <v>1562</v>
      </c>
      <c r="C637" s="305">
        <v>0</v>
      </c>
      <c r="D637" s="305">
        <v>0</v>
      </c>
      <c r="E637" s="305">
        <v>0</v>
      </c>
      <c r="F637" s="305">
        <v>0</v>
      </c>
      <c r="G637" s="305">
        <v>0</v>
      </c>
      <c r="H637" s="305">
        <v>45</v>
      </c>
      <c r="I637" s="305">
        <v>0</v>
      </c>
      <c r="J637" s="1" t="s">
        <v>793</v>
      </c>
      <c r="K637" s="3" t="s">
        <v>982</v>
      </c>
      <c r="L637" s="365"/>
      <c r="M637" s="2">
        <v>0</v>
      </c>
      <c r="N637" s="311">
        <v>920</v>
      </c>
      <c r="O637" s="310" t="s">
        <v>507</v>
      </c>
      <c r="P637" s="309">
        <v>40</v>
      </c>
      <c r="Q637" s="60" t="s">
        <v>456</v>
      </c>
      <c r="R637" s="309">
        <v>5024</v>
      </c>
      <c r="S637" s="60" t="s">
        <v>155</v>
      </c>
      <c r="T637" s="61">
        <v>190</v>
      </c>
      <c r="U637" s="60" t="s">
        <v>503</v>
      </c>
      <c r="V637" s="1">
        <v>3</v>
      </c>
      <c r="W637" s="1" t="s">
        <v>1464</v>
      </c>
      <c r="X637" s="1" t="s">
        <v>1537</v>
      </c>
      <c r="Y637" s="2">
        <v>0</v>
      </c>
      <c r="Z637" s="2">
        <v>0</v>
      </c>
      <c r="AA637" s="2">
        <v>0</v>
      </c>
      <c r="AB637" s="2">
        <v>0</v>
      </c>
      <c r="AC637" s="2">
        <v>0</v>
      </c>
      <c r="AD637" s="2">
        <v>0</v>
      </c>
      <c r="AE637" s="2">
        <v>0</v>
      </c>
      <c r="AF637" s="2">
        <v>11.26</v>
      </c>
      <c r="AG637" s="2">
        <v>33.74</v>
      </c>
      <c r="AH637" s="2">
        <v>0</v>
      </c>
      <c r="AI637" s="2">
        <v>0</v>
      </c>
      <c r="AJ637" s="2">
        <v>0</v>
      </c>
      <c r="AK637" s="2">
        <v>0</v>
      </c>
      <c r="AL637" s="2">
        <v>0</v>
      </c>
      <c r="AM637" s="2">
        <v>0</v>
      </c>
      <c r="AN637" s="2">
        <v>0</v>
      </c>
      <c r="AO637" s="2">
        <v>0</v>
      </c>
      <c r="AP637" s="2">
        <v>0</v>
      </c>
      <c r="AQ637" s="2">
        <v>0</v>
      </c>
      <c r="AR637" s="2">
        <v>0</v>
      </c>
      <c r="AS637" s="2">
        <v>0</v>
      </c>
      <c r="AT637" s="2">
        <v>0</v>
      </c>
      <c r="AU637" s="2">
        <v>0</v>
      </c>
      <c r="AV637" s="2">
        <v>0</v>
      </c>
      <c r="AW637" s="1">
        <v>633</v>
      </c>
    </row>
    <row r="638" spans="1:49" ht="12.75">
      <c r="A638" s="5">
        <v>9920</v>
      </c>
      <c r="B638" s="2" t="s">
        <v>1563</v>
      </c>
      <c r="C638" s="305">
        <v>0</v>
      </c>
      <c r="D638" s="305">
        <v>0</v>
      </c>
      <c r="E638" s="305">
        <v>0</v>
      </c>
      <c r="F638" s="305">
        <v>0</v>
      </c>
      <c r="G638" s="305">
        <v>0</v>
      </c>
      <c r="H638" s="305">
        <v>1151</v>
      </c>
      <c r="I638" s="305">
        <v>0</v>
      </c>
      <c r="J638" s="1" t="s">
        <v>794</v>
      </c>
      <c r="K638" s="3" t="s">
        <v>982</v>
      </c>
      <c r="L638" s="365"/>
      <c r="M638" s="2">
        <v>0</v>
      </c>
      <c r="N638" s="311">
        <v>920</v>
      </c>
      <c r="O638" s="310" t="s">
        <v>507</v>
      </c>
      <c r="P638" s="309">
        <v>40</v>
      </c>
      <c r="Q638" s="60" t="s">
        <v>456</v>
      </c>
      <c r="R638" s="309">
        <v>5024</v>
      </c>
      <c r="S638" s="60" t="s">
        <v>155</v>
      </c>
      <c r="T638" s="61">
        <v>200</v>
      </c>
      <c r="U638" s="60" t="s">
        <v>499</v>
      </c>
      <c r="V638" s="1">
        <v>3</v>
      </c>
      <c r="W638" s="1" t="s">
        <v>1464</v>
      </c>
      <c r="X638" s="1" t="s">
        <v>1540</v>
      </c>
      <c r="Y638" s="2">
        <v>0</v>
      </c>
      <c r="Z638" s="2">
        <v>0</v>
      </c>
      <c r="AA638" s="2">
        <v>0</v>
      </c>
      <c r="AB638" s="2">
        <v>0</v>
      </c>
      <c r="AC638" s="2">
        <v>0</v>
      </c>
      <c r="AD638" s="2">
        <v>0</v>
      </c>
      <c r="AE638" s="2">
        <v>0</v>
      </c>
      <c r="AF638" s="2">
        <v>276</v>
      </c>
      <c r="AG638" s="2">
        <v>875</v>
      </c>
      <c r="AH638" s="2">
        <v>0</v>
      </c>
      <c r="AI638" s="2">
        <v>0</v>
      </c>
      <c r="AJ638" s="2">
        <v>0</v>
      </c>
      <c r="AK638" s="2">
        <v>0</v>
      </c>
      <c r="AL638" s="2">
        <v>0</v>
      </c>
      <c r="AM638" s="2">
        <v>0</v>
      </c>
      <c r="AN638" s="2">
        <v>0</v>
      </c>
      <c r="AO638" s="2">
        <v>0</v>
      </c>
      <c r="AP638" s="2">
        <v>0</v>
      </c>
      <c r="AQ638" s="2">
        <v>0</v>
      </c>
      <c r="AR638" s="2">
        <v>0</v>
      </c>
      <c r="AS638" s="2">
        <v>0</v>
      </c>
      <c r="AT638" s="2">
        <v>0</v>
      </c>
      <c r="AU638" s="2">
        <v>0</v>
      </c>
      <c r="AV638" s="2">
        <v>0</v>
      </c>
      <c r="AW638" s="1">
        <v>634</v>
      </c>
    </row>
    <row r="639" spans="1:49" ht="12.75">
      <c r="A639" s="5">
        <v>9920</v>
      </c>
      <c r="B639" s="2" t="s">
        <v>1564</v>
      </c>
      <c r="C639" s="305">
        <v>0</v>
      </c>
      <c r="D639" s="305">
        <v>0</v>
      </c>
      <c r="E639" s="305">
        <v>0</v>
      </c>
      <c r="F639" s="305">
        <v>0</v>
      </c>
      <c r="G639" s="305">
        <v>0</v>
      </c>
      <c r="H639" s="305">
        <v>2317</v>
      </c>
      <c r="I639" s="305">
        <v>0</v>
      </c>
      <c r="J639" s="1" t="s">
        <v>795</v>
      </c>
      <c r="K639" s="3" t="s">
        <v>982</v>
      </c>
      <c r="L639" s="365"/>
      <c r="M639" s="2">
        <v>0</v>
      </c>
      <c r="N639" s="311">
        <v>920</v>
      </c>
      <c r="O639" s="310" t="s">
        <v>507</v>
      </c>
      <c r="P639" s="309">
        <v>40</v>
      </c>
      <c r="Q639" s="60" t="s">
        <v>456</v>
      </c>
      <c r="R639" s="309">
        <v>5025</v>
      </c>
      <c r="S639" s="60" t="s">
        <v>204</v>
      </c>
      <c r="T639" s="61">
        <v>140</v>
      </c>
      <c r="U639" s="60" t="s">
        <v>504</v>
      </c>
      <c r="V639" s="1">
        <v>3</v>
      </c>
      <c r="W639" s="1" t="s">
        <v>1464</v>
      </c>
      <c r="X639" s="1" t="s">
        <v>1489</v>
      </c>
      <c r="Y639" s="2">
        <v>0</v>
      </c>
      <c r="Z639" s="2">
        <v>0</v>
      </c>
      <c r="AA639" s="2">
        <v>0</v>
      </c>
      <c r="AB639" s="2">
        <v>0</v>
      </c>
      <c r="AC639" s="2">
        <v>0</v>
      </c>
      <c r="AD639" s="2">
        <v>0</v>
      </c>
      <c r="AE639" s="2">
        <v>0</v>
      </c>
      <c r="AF639" s="2">
        <v>760</v>
      </c>
      <c r="AG639" s="2">
        <v>1557</v>
      </c>
      <c r="AH639" s="2">
        <v>0</v>
      </c>
      <c r="AI639" s="2">
        <v>0</v>
      </c>
      <c r="AJ639" s="2">
        <v>0</v>
      </c>
      <c r="AK639" s="2">
        <v>0</v>
      </c>
      <c r="AL639" s="2">
        <v>0</v>
      </c>
      <c r="AM639" s="2">
        <v>0</v>
      </c>
      <c r="AN639" s="2">
        <v>0</v>
      </c>
      <c r="AO639" s="2">
        <v>0</v>
      </c>
      <c r="AP639" s="2">
        <v>0</v>
      </c>
      <c r="AQ639" s="2">
        <v>0</v>
      </c>
      <c r="AR639" s="2">
        <v>0</v>
      </c>
      <c r="AS639" s="2">
        <v>0</v>
      </c>
      <c r="AT639" s="2">
        <v>0</v>
      </c>
      <c r="AU639" s="2">
        <v>0</v>
      </c>
      <c r="AV639" s="2">
        <v>0</v>
      </c>
      <c r="AW639" s="1">
        <v>635</v>
      </c>
    </row>
    <row r="640" spans="1:49" ht="12.75">
      <c r="A640" s="5">
        <v>9920</v>
      </c>
      <c r="B640" s="2" t="s">
        <v>1565</v>
      </c>
      <c r="C640" s="305">
        <v>1281</v>
      </c>
      <c r="D640" s="305">
        <v>0</v>
      </c>
      <c r="E640" s="305">
        <v>1287</v>
      </c>
      <c r="F640" s="305">
        <v>18285</v>
      </c>
      <c r="G640" s="305">
        <v>0</v>
      </c>
      <c r="H640" s="305">
        <v>4650</v>
      </c>
      <c r="I640" s="305">
        <v>0</v>
      </c>
      <c r="J640" s="1" t="s">
        <v>797</v>
      </c>
      <c r="K640" s="3" t="s">
        <v>982</v>
      </c>
      <c r="L640" s="365"/>
      <c r="M640" s="2">
        <v>18285</v>
      </c>
      <c r="N640" s="311">
        <v>920</v>
      </c>
      <c r="O640" s="310" t="s">
        <v>507</v>
      </c>
      <c r="P640" s="309">
        <v>40</v>
      </c>
      <c r="Q640" s="60" t="s">
        <v>456</v>
      </c>
      <c r="R640" s="309">
        <v>5025</v>
      </c>
      <c r="S640" s="60" t="s">
        <v>204</v>
      </c>
      <c r="T640" s="61">
        <v>250</v>
      </c>
      <c r="U640" s="60" t="s">
        <v>505</v>
      </c>
      <c r="V640" s="1">
        <v>3</v>
      </c>
      <c r="W640" s="1" t="s">
        <v>1464</v>
      </c>
      <c r="X640" s="1" t="s">
        <v>1566</v>
      </c>
      <c r="Y640" s="2">
        <v>0</v>
      </c>
      <c r="Z640" s="2">
        <v>0</v>
      </c>
      <c r="AA640" s="2">
        <v>0</v>
      </c>
      <c r="AB640" s="2">
        <v>0</v>
      </c>
      <c r="AC640" s="2">
        <v>0</v>
      </c>
      <c r="AD640" s="2">
        <v>0</v>
      </c>
      <c r="AE640" s="2">
        <v>0</v>
      </c>
      <c r="AF640" s="2">
        <v>0</v>
      </c>
      <c r="AG640" s="2">
        <v>0</v>
      </c>
      <c r="AH640" s="2">
        <v>1937</v>
      </c>
      <c r="AI640" s="2">
        <v>1426</v>
      </c>
      <c r="AJ640" s="2">
        <v>1287</v>
      </c>
      <c r="AK640" s="2">
        <v>1392</v>
      </c>
      <c r="AL640" s="2">
        <v>1007</v>
      </c>
      <c r="AM640" s="2">
        <v>1391</v>
      </c>
      <c r="AN640" s="2">
        <v>1872</v>
      </c>
      <c r="AO640" s="2">
        <v>2315</v>
      </c>
      <c r="AP640" s="2">
        <v>2111</v>
      </c>
      <c r="AQ640" s="2">
        <v>1360</v>
      </c>
      <c r="AR640" s="2">
        <v>1534</v>
      </c>
      <c r="AS640" s="2">
        <v>1383</v>
      </c>
      <c r="AT640" s="2">
        <v>1359</v>
      </c>
      <c r="AU640" s="2">
        <v>1280</v>
      </c>
      <c r="AV640" s="2">
        <v>1281</v>
      </c>
      <c r="AW640" s="1">
        <v>636</v>
      </c>
    </row>
    <row r="641" spans="1:49" ht="12.75">
      <c r="A641" s="5">
        <v>9920</v>
      </c>
      <c r="B641" s="2" t="s">
        <v>1567</v>
      </c>
      <c r="C641" s="305">
        <v>0</v>
      </c>
      <c r="D641" s="305">
        <v>0</v>
      </c>
      <c r="E641" s="305">
        <v>0</v>
      </c>
      <c r="F641" s="305">
        <v>0</v>
      </c>
      <c r="G641" s="305">
        <v>0</v>
      </c>
      <c r="H641" s="305">
        <v>379</v>
      </c>
      <c r="I641" s="305">
        <v>0</v>
      </c>
      <c r="J641" s="1" t="s">
        <v>798</v>
      </c>
      <c r="K641" s="3" t="s">
        <v>982</v>
      </c>
      <c r="L641" s="365"/>
      <c r="M641" s="2">
        <v>0</v>
      </c>
      <c r="N641" s="311">
        <v>920</v>
      </c>
      <c r="O641" s="310" t="s">
        <v>507</v>
      </c>
      <c r="P641" s="309">
        <v>40</v>
      </c>
      <c r="Q641" s="60" t="s">
        <v>456</v>
      </c>
      <c r="R641" s="309">
        <v>5025</v>
      </c>
      <c r="S641" s="60" t="s">
        <v>204</v>
      </c>
      <c r="T641" s="61">
        <v>140</v>
      </c>
      <c r="U641" s="60" t="s">
        <v>504</v>
      </c>
      <c r="V641" s="1">
        <v>3</v>
      </c>
      <c r="W641" s="1" t="s">
        <v>1464</v>
      </c>
      <c r="X641" s="1" t="s">
        <v>1494</v>
      </c>
      <c r="Y641" s="2">
        <v>0</v>
      </c>
      <c r="Z641" s="2">
        <v>0</v>
      </c>
      <c r="AA641" s="2">
        <v>0</v>
      </c>
      <c r="AB641" s="2">
        <v>0</v>
      </c>
      <c r="AC641" s="2">
        <v>0</v>
      </c>
      <c r="AD641" s="2">
        <v>0</v>
      </c>
      <c r="AE641" s="2">
        <v>0</v>
      </c>
      <c r="AF641" s="2">
        <v>140</v>
      </c>
      <c r="AG641" s="2">
        <v>239</v>
      </c>
      <c r="AH641" s="2">
        <v>0</v>
      </c>
      <c r="AI641" s="2">
        <v>0</v>
      </c>
      <c r="AJ641" s="2">
        <v>0</v>
      </c>
      <c r="AK641" s="2">
        <v>0</v>
      </c>
      <c r="AL641" s="2">
        <v>0</v>
      </c>
      <c r="AM641" s="2">
        <v>0</v>
      </c>
      <c r="AN641" s="2">
        <v>0</v>
      </c>
      <c r="AO641" s="2">
        <v>0</v>
      </c>
      <c r="AP641" s="2">
        <v>0</v>
      </c>
      <c r="AQ641" s="2">
        <v>0</v>
      </c>
      <c r="AR641" s="2">
        <v>0</v>
      </c>
      <c r="AS641" s="2">
        <v>0</v>
      </c>
      <c r="AT641" s="2">
        <v>0</v>
      </c>
      <c r="AU641" s="2">
        <v>0</v>
      </c>
      <c r="AV641" s="2">
        <v>0</v>
      </c>
      <c r="AW641" s="1">
        <v>637</v>
      </c>
    </row>
    <row r="642" spans="1:49" ht="12.75">
      <c r="A642" s="5">
        <v>9920</v>
      </c>
      <c r="B642" s="2" t="s">
        <v>1568</v>
      </c>
      <c r="C642" s="305">
        <v>0</v>
      </c>
      <c r="D642" s="305">
        <v>0</v>
      </c>
      <c r="E642" s="305">
        <v>0</v>
      </c>
      <c r="F642" s="305">
        <v>0</v>
      </c>
      <c r="G642" s="305">
        <v>0</v>
      </c>
      <c r="H642" s="305">
        <v>829</v>
      </c>
      <c r="I642" s="305">
        <v>0</v>
      </c>
      <c r="J642" s="1" t="s">
        <v>800</v>
      </c>
      <c r="K642" s="3" t="s">
        <v>982</v>
      </c>
      <c r="L642" s="365"/>
      <c r="M642" s="2">
        <v>0</v>
      </c>
      <c r="N642" s="311">
        <v>920</v>
      </c>
      <c r="O642" s="310" t="s">
        <v>507</v>
      </c>
      <c r="P642" s="309">
        <v>40</v>
      </c>
      <c r="Q642" s="60" t="s">
        <v>456</v>
      </c>
      <c r="R642" s="309">
        <v>5025</v>
      </c>
      <c r="S642" s="60" t="s">
        <v>204</v>
      </c>
      <c r="T642" s="61">
        <v>140</v>
      </c>
      <c r="U642" s="60" t="s">
        <v>504</v>
      </c>
      <c r="V642" s="1">
        <v>3</v>
      </c>
      <c r="W642" s="1" t="s">
        <v>1464</v>
      </c>
      <c r="X642" s="1" t="s">
        <v>1492</v>
      </c>
      <c r="Y642" s="2">
        <v>0</v>
      </c>
      <c r="Z642" s="2">
        <v>0</v>
      </c>
      <c r="AA642" s="2">
        <v>0</v>
      </c>
      <c r="AB642" s="2">
        <v>0</v>
      </c>
      <c r="AC642" s="2">
        <v>0</v>
      </c>
      <c r="AD642" s="2">
        <v>0</v>
      </c>
      <c r="AE642" s="2">
        <v>0</v>
      </c>
      <c r="AF642" s="2">
        <v>237</v>
      </c>
      <c r="AG642" s="2">
        <v>592</v>
      </c>
      <c r="AH642" s="2">
        <v>0</v>
      </c>
      <c r="AI642" s="2">
        <v>0</v>
      </c>
      <c r="AJ642" s="2">
        <v>0</v>
      </c>
      <c r="AK642" s="2">
        <v>0</v>
      </c>
      <c r="AL642" s="2">
        <v>0</v>
      </c>
      <c r="AM642" s="2">
        <v>0</v>
      </c>
      <c r="AN642" s="2">
        <v>0</v>
      </c>
      <c r="AO642" s="2">
        <v>0</v>
      </c>
      <c r="AP642" s="2">
        <v>0</v>
      </c>
      <c r="AQ642" s="2">
        <v>0</v>
      </c>
      <c r="AR642" s="2">
        <v>0</v>
      </c>
      <c r="AS642" s="2">
        <v>0</v>
      </c>
      <c r="AT642" s="2">
        <v>0</v>
      </c>
      <c r="AU642" s="2">
        <v>0</v>
      </c>
      <c r="AV642" s="2">
        <v>0</v>
      </c>
      <c r="AW642" s="1">
        <v>638</v>
      </c>
    </row>
    <row r="643" spans="1:49" ht="12.75">
      <c r="A643" s="5">
        <v>9920</v>
      </c>
      <c r="B643" s="2" t="s">
        <v>1569</v>
      </c>
      <c r="C643" s="305">
        <v>0</v>
      </c>
      <c r="D643" s="305">
        <v>0</v>
      </c>
      <c r="E643" s="305">
        <v>0</v>
      </c>
      <c r="F643" s="305">
        <v>0</v>
      </c>
      <c r="G643" s="305">
        <v>0</v>
      </c>
      <c r="H643" s="305">
        <v>456</v>
      </c>
      <c r="I643" s="305">
        <v>0</v>
      </c>
      <c r="J643" s="1" t="s">
        <v>802</v>
      </c>
      <c r="K643" s="3" t="s">
        <v>982</v>
      </c>
      <c r="L643" s="365"/>
      <c r="M643" s="2">
        <v>0</v>
      </c>
      <c r="N643" s="311">
        <v>920</v>
      </c>
      <c r="O643" s="310" t="s">
        <v>507</v>
      </c>
      <c r="P643" s="309">
        <v>40</v>
      </c>
      <c r="Q643" s="60" t="s">
        <v>456</v>
      </c>
      <c r="R643" s="309">
        <v>5025</v>
      </c>
      <c r="S643" s="60" t="s">
        <v>204</v>
      </c>
      <c r="T643" s="61">
        <v>140</v>
      </c>
      <c r="U643" s="60" t="s">
        <v>504</v>
      </c>
      <c r="V643" s="1">
        <v>3</v>
      </c>
      <c r="W643" s="1" t="s">
        <v>1464</v>
      </c>
      <c r="X643" s="1" t="s">
        <v>1496</v>
      </c>
      <c r="Y643" s="2">
        <v>0</v>
      </c>
      <c r="Z643" s="2">
        <v>0</v>
      </c>
      <c r="AA643" s="2">
        <v>0</v>
      </c>
      <c r="AB643" s="2">
        <v>0</v>
      </c>
      <c r="AC643" s="2">
        <v>0</v>
      </c>
      <c r="AD643" s="2">
        <v>0</v>
      </c>
      <c r="AE643" s="2">
        <v>0</v>
      </c>
      <c r="AF643" s="2">
        <v>144</v>
      </c>
      <c r="AG643" s="2">
        <v>312</v>
      </c>
      <c r="AH643" s="2">
        <v>0</v>
      </c>
      <c r="AI643" s="2">
        <v>0</v>
      </c>
      <c r="AJ643" s="2">
        <v>0</v>
      </c>
      <c r="AK643" s="2">
        <v>0</v>
      </c>
      <c r="AL643" s="2">
        <v>0</v>
      </c>
      <c r="AM643" s="2">
        <v>0</v>
      </c>
      <c r="AN643" s="2">
        <v>0</v>
      </c>
      <c r="AO643" s="2">
        <v>0</v>
      </c>
      <c r="AP643" s="2">
        <v>0</v>
      </c>
      <c r="AQ643" s="2">
        <v>0</v>
      </c>
      <c r="AR643" s="2">
        <v>0</v>
      </c>
      <c r="AS643" s="2">
        <v>0</v>
      </c>
      <c r="AT643" s="2">
        <v>0</v>
      </c>
      <c r="AU643" s="2">
        <v>0</v>
      </c>
      <c r="AV643" s="2">
        <v>0</v>
      </c>
      <c r="AW643" s="1">
        <v>639</v>
      </c>
    </row>
    <row r="644" spans="1:49" ht="12.75">
      <c r="A644" s="5">
        <v>9920</v>
      </c>
      <c r="B644" s="2" t="s">
        <v>1570</v>
      </c>
      <c r="C644" s="305">
        <v>0</v>
      </c>
      <c r="D644" s="305">
        <v>0</v>
      </c>
      <c r="E644" s="305">
        <v>0</v>
      </c>
      <c r="F644" s="305">
        <v>0</v>
      </c>
      <c r="G644" s="305">
        <v>0</v>
      </c>
      <c r="H644" s="305">
        <v>2802</v>
      </c>
      <c r="I644" s="305">
        <v>0</v>
      </c>
      <c r="J644" s="1" t="s">
        <v>803</v>
      </c>
      <c r="K644" s="3" t="s">
        <v>982</v>
      </c>
      <c r="L644" s="365"/>
      <c r="M644" s="2">
        <v>0</v>
      </c>
      <c r="N644" s="311">
        <v>920</v>
      </c>
      <c r="O644" s="310" t="s">
        <v>507</v>
      </c>
      <c r="P644" s="309">
        <v>40</v>
      </c>
      <c r="Q644" s="60" t="s">
        <v>456</v>
      </c>
      <c r="R644" s="309">
        <v>5025</v>
      </c>
      <c r="S644" s="60" t="s">
        <v>204</v>
      </c>
      <c r="T644" s="61">
        <v>250</v>
      </c>
      <c r="U644" s="60" t="s">
        <v>505</v>
      </c>
      <c r="V644" s="1">
        <v>3</v>
      </c>
      <c r="W644" s="1" t="s">
        <v>1464</v>
      </c>
      <c r="X644" s="1" t="s">
        <v>1566</v>
      </c>
      <c r="Y644" s="2">
        <v>0</v>
      </c>
      <c r="Z644" s="2">
        <v>0</v>
      </c>
      <c r="AA644" s="2">
        <v>0</v>
      </c>
      <c r="AB644" s="2">
        <v>0</v>
      </c>
      <c r="AC644" s="2">
        <v>0</v>
      </c>
      <c r="AD644" s="2">
        <v>0</v>
      </c>
      <c r="AE644" s="2">
        <v>0</v>
      </c>
      <c r="AF644" s="2">
        <v>958</v>
      </c>
      <c r="AG644" s="2">
        <v>1844</v>
      </c>
      <c r="AH644" s="2">
        <v>0</v>
      </c>
      <c r="AI644" s="2">
        <v>0</v>
      </c>
      <c r="AJ644" s="2">
        <v>0</v>
      </c>
      <c r="AK644" s="2">
        <v>0</v>
      </c>
      <c r="AL644" s="2">
        <v>0</v>
      </c>
      <c r="AM644" s="2">
        <v>0</v>
      </c>
      <c r="AN644" s="2">
        <v>0</v>
      </c>
      <c r="AO644" s="2">
        <v>0</v>
      </c>
      <c r="AP644" s="2">
        <v>0</v>
      </c>
      <c r="AQ644" s="2">
        <v>0</v>
      </c>
      <c r="AR644" s="2">
        <v>0</v>
      </c>
      <c r="AS644" s="2">
        <v>0</v>
      </c>
      <c r="AT644" s="2">
        <v>0</v>
      </c>
      <c r="AU644" s="2">
        <v>0</v>
      </c>
      <c r="AV644" s="2">
        <v>0</v>
      </c>
      <c r="AW644" s="1">
        <v>640</v>
      </c>
    </row>
    <row r="645" spans="1:49" ht="12.75">
      <c r="A645" s="5">
        <v>9920</v>
      </c>
      <c r="B645" s="2" t="s">
        <v>1571</v>
      </c>
      <c r="C645" s="305">
        <v>0</v>
      </c>
      <c r="D645" s="305">
        <v>0</v>
      </c>
      <c r="E645" s="305">
        <v>0</v>
      </c>
      <c r="F645" s="305">
        <v>0</v>
      </c>
      <c r="G645" s="305">
        <v>0</v>
      </c>
      <c r="H645" s="305">
        <v>264.78</v>
      </c>
      <c r="I645" s="305">
        <v>0</v>
      </c>
      <c r="J645" s="1" t="s">
        <v>804</v>
      </c>
      <c r="K645" s="3" t="s">
        <v>982</v>
      </c>
      <c r="L645" s="365"/>
      <c r="M645" s="2">
        <v>0</v>
      </c>
      <c r="N645" s="311">
        <v>920</v>
      </c>
      <c r="O645" s="310" t="s">
        <v>507</v>
      </c>
      <c r="P645" s="309">
        <v>40</v>
      </c>
      <c r="Q645" s="60" t="s">
        <v>456</v>
      </c>
      <c r="R645" s="309">
        <v>5027</v>
      </c>
      <c r="S645" s="60" t="s">
        <v>206</v>
      </c>
      <c r="T645" s="61">
        <v>160</v>
      </c>
      <c r="U645" s="60" t="s">
        <v>716</v>
      </c>
      <c r="V645" s="1">
        <v>3</v>
      </c>
      <c r="W645" s="1" t="s">
        <v>1464</v>
      </c>
      <c r="X645" s="1" t="s">
        <v>1509</v>
      </c>
      <c r="Y645" s="2">
        <v>0</v>
      </c>
      <c r="Z645" s="2">
        <v>0</v>
      </c>
      <c r="AA645" s="2">
        <v>0</v>
      </c>
      <c r="AB645" s="2">
        <v>0</v>
      </c>
      <c r="AC645" s="2">
        <v>0</v>
      </c>
      <c r="AD645" s="2">
        <v>0</v>
      </c>
      <c r="AE645" s="2">
        <v>0</v>
      </c>
      <c r="AF645" s="2">
        <v>98</v>
      </c>
      <c r="AG645" s="2">
        <v>166.78</v>
      </c>
      <c r="AH645" s="2">
        <v>0</v>
      </c>
      <c r="AI645" s="2">
        <v>0</v>
      </c>
      <c r="AJ645" s="2">
        <v>0</v>
      </c>
      <c r="AK645" s="2">
        <v>0</v>
      </c>
      <c r="AL645" s="2">
        <v>0</v>
      </c>
      <c r="AM645" s="2">
        <v>0</v>
      </c>
      <c r="AN645" s="2">
        <v>0</v>
      </c>
      <c r="AO645" s="2">
        <v>0</v>
      </c>
      <c r="AP645" s="2">
        <v>0</v>
      </c>
      <c r="AQ645" s="2">
        <v>0</v>
      </c>
      <c r="AR645" s="2">
        <v>0</v>
      </c>
      <c r="AS645" s="2">
        <v>0</v>
      </c>
      <c r="AT645" s="2">
        <v>0</v>
      </c>
      <c r="AU645" s="2">
        <v>0</v>
      </c>
      <c r="AV645" s="2">
        <v>0</v>
      </c>
      <c r="AW645" s="1">
        <v>641</v>
      </c>
    </row>
    <row r="646" spans="1:49" ht="12.75">
      <c r="A646" s="5">
        <v>9920</v>
      </c>
      <c r="B646" s="2" t="s">
        <v>1572</v>
      </c>
      <c r="C646" s="305">
        <v>0</v>
      </c>
      <c r="D646" s="305">
        <v>0</v>
      </c>
      <c r="E646" s="305">
        <v>0</v>
      </c>
      <c r="F646" s="305">
        <v>0</v>
      </c>
      <c r="G646" s="305">
        <v>0</v>
      </c>
      <c r="H646" s="305">
        <v>2687.65</v>
      </c>
      <c r="I646" s="305">
        <v>0</v>
      </c>
      <c r="J646" s="1" t="s">
        <v>806</v>
      </c>
      <c r="K646" s="3" t="s">
        <v>982</v>
      </c>
      <c r="L646" s="365"/>
      <c r="M646" s="2">
        <v>0</v>
      </c>
      <c r="N646" s="311">
        <v>920</v>
      </c>
      <c r="O646" s="310" t="s">
        <v>507</v>
      </c>
      <c r="P646" s="309">
        <v>40</v>
      </c>
      <c r="Q646" s="60" t="s">
        <v>456</v>
      </c>
      <c r="R646" s="309">
        <v>5027</v>
      </c>
      <c r="S646" s="60" t="s">
        <v>206</v>
      </c>
      <c r="T646" s="61">
        <v>160</v>
      </c>
      <c r="U646" s="60" t="s">
        <v>716</v>
      </c>
      <c r="V646" s="1">
        <v>3</v>
      </c>
      <c r="W646" s="1" t="s">
        <v>1464</v>
      </c>
      <c r="X646" s="1" t="s">
        <v>1506</v>
      </c>
      <c r="Y646" s="2">
        <v>0</v>
      </c>
      <c r="Z646" s="2">
        <v>0</v>
      </c>
      <c r="AA646" s="2">
        <v>0</v>
      </c>
      <c r="AB646" s="2">
        <v>0</v>
      </c>
      <c r="AC646" s="2">
        <v>0</v>
      </c>
      <c r="AD646" s="2">
        <v>0</v>
      </c>
      <c r="AE646" s="2">
        <v>0</v>
      </c>
      <c r="AF646" s="2">
        <v>781.38</v>
      </c>
      <c r="AG646" s="2">
        <v>1906.27</v>
      </c>
      <c r="AH646" s="2">
        <v>0</v>
      </c>
      <c r="AI646" s="2">
        <v>0</v>
      </c>
      <c r="AJ646" s="2">
        <v>0</v>
      </c>
      <c r="AK646" s="2">
        <v>0</v>
      </c>
      <c r="AL646" s="2">
        <v>0</v>
      </c>
      <c r="AM646" s="2">
        <v>0</v>
      </c>
      <c r="AN646" s="2">
        <v>0</v>
      </c>
      <c r="AO646" s="2">
        <v>0</v>
      </c>
      <c r="AP646" s="2">
        <v>0</v>
      </c>
      <c r="AQ646" s="2">
        <v>0</v>
      </c>
      <c r="AR646" s="2">
        <v>0</v>
      </c>
      <c r="AS646" s="2">
        <v>0</v>
      </c>
      <c r="AT646" s="2">
        <v>0</v>
      </c>
      <c r="AU646" s="2">
        <v>0</v>
      </c>
      <c r="AV646" s="2">
        <v>0</v>
      </c>
      <c r="AW646" s="1">
        <v>642</v>
      </c>
    </row>
    <row r="647" spans="1:49" ht="12.75">
      <c r="A647" s="5">
        <v>9920</v>
      </c>
      <c r="B647" s="2" t="s">
        <v>1573</v>
      </c>
      <c r="C647" s="305">
        <v>0</v>
      </c>
      <c r="D647" s="305">
        <v>0</v>
      </c>
      <c r="E647" s="305">
        <v>0</v>
      </c>
      <c r="F647" s="305">
        <v>0</v>
      </c>
      <c r="G647" s="305">
        <v>0</v>
      </c>
      <c r="H647" s="305">
        <v>969</v>
      </c>
      <c r="I647" s="305">
        <v>0</v>
      </c>
      <c r="J647" s="1" t="s">
        <v>807</v>
      </c>
      <c r="K647" s="3" t="s">
        <v>982</v>
      </c>
      <c r="L647" s="365"/>
      <c r="M647" s="2">
        <v>0</v>
      </c>
      <c r="N647" s="311">
        <v>920</v>
      </c>
      <c r="O647" s="310" t="s">
        <v>507</v>
      </c>
      <c r="P647" s="309">
        <v>40</v>
      </c>
      <c r="Q647" s="60" t="s">
        <v>456</v>
      </c>
      <c r="R647" s="309">
        <v>5027</v>
      </c>
      <c r="S647" s="60" t="s">
        <v>206</v>
      </c>
      <c r="T647" s="61">
        <v>160</v>
      </c>
      <c r="U647" s="60" t="s">
        <v>716</v>
      </c>
      <c r="V647" s="1">
        <v>3</v>
      </c>
      <c r="W647" s="1" t="s">
        <v>1464</v>
      </c>
      <c r="X647" s="1" t="s">
        <v>1512</v>
      </c>
      <c r="Y647" s="2">
        <v>0</v>
      </c>
      <c r="Z647" s="2">
        <v>0</v>
      </c>
      <c r="AA647" s="2">
        <v>0</v>
      </c>
      <c r="AB647" s="2">
        <v>0</v>
      </c>
      <c r="AC647" s="2">
        <v>0</v>
      </c>
      <c r="AD647" s="2">
        <v>0</v>
      </c>
      <c r="AE647" s="2">
        <v>0</v>
      </c>
      <c r="AF647" s="2">
        <v>555</v>
      </c>
      <c r="AG647" s="2">
        <v>414</v>
      </c>
      <c r="AH647" s="2">
        <v>0</v>
      </c>
      <c r="AI647" s="2">
        <v>0</v>
      </c>
      <c r="AJ647" s="2">
        <v>0</v>
      </c>
      <c r="AK647" s="2">
        <v>0</v>
      </c>
      <c r="AL647" s="2">
        <v>0</v>
      </c>
      <c r="AM647" s="2">
        <v>0</v>
      </c>
      <c r="AN647" s="2">
        <v>0</v>
      </c>
      <c r="AO647" s="2">
        <v>0</v>
      </c>
      <c r="AP647" s="2">
        <v>0</v>
      </c>
      <c r="AQ647" s="2">
        <v>0</v>
      </c>
      <c r="AR647" s="2">
        <v>0</v>
      </c>
      <c r="AS647" s="2">
        <v>0</v>
      </c>
      <c r="AT647" s="2">
        <v>0</v>
      </c>
      <c r="AU647" s="2">
        <v>0</v>
      </c>
      <c r="AV647" s="2">
        <v>0</v>
      </c>
      <c r="AW647" s="1">
        <v>643</v>
      </c>
    </row>
    <row r="648" spans="1:49" ht="12.75">
      <c r="A648" s="5">
        <v>9920</v>
      </c>
      <c r="B648" s="2" t="s">
        <v>1574</v>
      </c>
      <c r="C648" s="305">
        <v>0</v>
      </c>
      <c r="D648" s="305">
        <v>0</v>
      </c>
      <c r="E648" s="305">
        <v>0</v>
      </c>
      <c r="F648" s="305">
        <v>0</v>
      </c>
      <c r="G648" s="305">
        <v>0</v>
      </c>
      <c r="H648" s="305">
        <v>83.43</v>
      </c>
      <c r="I648" s="305">
        <v>0</v>
      </c>
      <c r="J648" s="1" t="s">
        <v>809</v>
      </c>
      <c r="K648" s="3" t="s">
        <v>982</v>
      </c>
      <c r="L648" s="365"/>
      <c r="M648" s="2">
        <v>0</v>
      </c>
      <c r="N648" s="311">
        <v>920</v>
      </c>
      <c r="O648" s="310" t="s">
        <v>507</v>
      </c>
      <c r="P648" s="309">
        <v>40</v>
      </c>
      <c r="Q648" s="60" t="s">
        <v>456</v>
      </c>
      <c r="R648" s="309">
        <v>5028</v>
      </c>
      <c r="S648" s="60" t="s">
        <v>207</v>
      </c>
      <c r="T648" s="61">
        <v>170</v>
      </c>
      <c r="U648" s="60" t="s">
        <v>501</v>
      </c>
      <c r="V648" s="1">
        <v>3</v>
      </c>
      <c r="W648" s="1" t="s">
        <v>1464</v>
      </c>
      <c r="X648" s="1" t="s">
        <v>1575</v>
      </c>
      <c r="Y648" s="2">
        <v>0</v>
      </c>
      <c r="Z648" s="2">
        <v>0</v>
      </c>
      <c r="AA648" s="2">
        <v>0</v>
      </c>
      <c r="AB648" s="2">
        <v>0</v>
      </c>
      <c r="AC648" s="2">
        <v>0</v>
      </c>
      <c r="AD648" s="2">
        <v>0</v>
      </c>
      <c r="AE648" s="2">
        <v>0</v>
      </c>
      <c r="AF648" s="2">
        <v>34.43</v>
      </c>
      <c r="AG648" s="2">
        <v>49</v>
      </c>
      <c r="AH648" s="2">
        <v>0</v>
      </c>
      <c r="AI648" s="2">
        <v>0</v>
      </c>
      <c r="AJ648" s="2">
        <v>0</v>
      </c>
      <c r="AK648" s="2">
        <v>0</v>
      </c>
      <c r="AL648" s="2">
        <v>0</v>
      </c>
      <c r="AM648" s="2">
        <v>0</v>
      </c>
      <c r="AN648" s="2">
        <v>0</v>
      </c>
      <c r="AO648" s="2">
        <v>0</v>
      </c>
      <c r="AP648" s="2">
        <v>0</v>
      </c>
      <c r="AQ648" s="2">
        <v>0</v>
      </c>
      <c r="AR648" s="2">
        <v>0</v>
      </c>
      <c r="AS648" s="2">
        <v>0</v>
      </c>
      <c r="AT648" s="2">
        <v>0</v>
      </c>
      <c r="AU648" s="2">
        <v>0</v>
      </c>
      <c r="AV648" s="2">
        <v>0</v>
      </c>
      <c r="AW648" s="1">
        <v>644</v>
      </c>
    </row>
    <row r="649" spans="1:49" ht="12.75">
      <c r="A649" s="5">
        <v>9920</v>
      </c>
      <c r="B649" s="2" t="s">
        <v>1576</v>
      </c>
      <c r="C649" s="305">
        <v>0</v>
      </c>
      <c r="D649" s="305">
        <v>0</v>
      </c>
      <c r="E649" s="305">
        <v>0</v>
      </c>
      <c r="F649" s="305">
        <v>0</v>
      </c>
      <c r="G649" s="305">
        <v>0</v>
      </c>
      <c r="H649" s="305">
        <v>99</v>
      </c>
      <c r="I649" s="305">
        <v>0</v>
      </c>
      <c r="J649" s="1" t="s">
        <v>810</v>
      </c>
      <c r="K649" s="3" t="s">
        <v>982</v>
      </c>
      <c r="L649" s="365"/>
      <c r="M649" s="2">
        <v>0</v>
      </c>
      <c r="N649" s="311">
        <v>920</v>
      </c>
      <c r="O649" s="310" t="s">
        <v>507</v>
      </c>
      <c r="P649" s="309">
        <v>40</v>
      </c>
      <c r="Q649" s="60" t="s">
        <v>456</v>
      </c>
      <c r="R649" s="309">
        <v>5028</v>
      </c>
      <c r="S649" s="60" t="s">
        <v>207</v>
      </c>
      <c r="T649" s="61">
        <v>170</v>
      </c>
      <c r="U649" s="60" t="s">
        <v>501</v>
      </c>
      <c r="V649" s="1">
        <v>3</v>
      </c>
      <c r="W649" s="1" t="s">
        <v>1464</v>
      </c>
      <c r="X649" s="1" t="s">
        <v>1519</v>
      </c>
      <c r="Y649" s="2">
        <v>0</v>
      </c>
      <c r="Z649" s="2">
        <v>0</v>
      </c>
      <c r="AA649" s="2">
        <v>0</v>
      </c>
      <c r="AB649" s="2">
        <v>0</v>
      </c>
      <c r="AC649" s="2">
        <v>0</v>
      </c>
      <c r="AD649" s="2">
        <v>0</v>
      </c>
      <c r="AE649" s="2">
        <v>0</v>
      </c>
      <c r="AF649" s="2">
        <v>27</v>
      </c>
      <c r="AG649" s="2">
        <v>72</v>
      </c>
      <c r="AH649" s="2">
        <v>0</v>
      </c>
      <c r="AI649" s="2">
        <v>0</v>
      </c>
      <c r="AJ649" s="2">
        <v>0</v>
      </c>
      <c r="AK649" s="2">
        <v>0</v>
      </c>
      <c r="AL649" s="2">
        <v>0</v>
      </c>
      <c r="AM649" s="2">
        <v>0</v>
      </c>
      <c r="AN649" s="2">
        <v>0</v>
      </c>
      <c r="AO649" s="2">
        <v>0</v>
      </c>
      <c r="AP649" s="2">
        <v>0</v>
      </c>
      <c r="AQ649" s="2">
        <v>0</v>
      </c>
      <c r="AR649" s="2">
        <v>0</v>
      </c>
      <c r="AS649" s="2">
        <v>0</v>
      </c>
      <c r="AT649" s="2">
        <v>0</v>
      </c>
      <c r="AU649" s="2">
        <v>0</v>
      </c>
      <c r="AV649" s="2">
        <v>0</v>
      </c>
      <c r="AW649" s="1">
        <v>645</v>
      </c>
    </row>
    <row r="650" spans="1:49" ht="12.75">
      <c r="A650" s="5">
        <v>9920</v>
      </c>
      <c r="B650" s="2" t="s">
        <v>1577</v>
      </c>
      <c r="C650" s="305">
        <v>0</v>
      </c>
      <c r="D650" s="305">
        <v>0</v>
      </c>
      <c r="E650" s="305">
        <v>0</v>
      </c>
      <c r="F650" s="305">
        <v>0</v>
      </c>
      <c r="G650" s="305">
        <v>0</v>
      </c>
      <c r="H650" s="305">
        <v>14</v>
      </c>
      <c r="I650" s="305">
        <v>0</v>
      </c>
      <c r="J650" s="1" t="s">
        <v>811</v>
      </c>
      <c r="K650" s="3" t="s">
        <v>982</v>
      </c>
      <c r="L650" s="365"/>
      <c r="M650" s="2">
        <v>0</v>
      </c>
      <c r="N650" s="311">
        <v>920</v>
      </c>
      <c r="O650" s="310" t="s">
        <v>507</v>
      </c>
      <c r="P650" s="309">
        <v>40</v>
      </c>
      <c r="Q650" s="60" t="s">
        <v>456</v>
      </c>
      <c r="R650" s="309">
        <v>5028</v>
      </c>
      <c r="S650" s="60" t="s">
        <v>207</v>
      </c>
      <c r="T650" s="61">
        <v>170</v>
      </c>
      <c r="U650" s="60" t="s">
        <v>501</v>
      </c>
      <c r="V650" s="1">
        <v>3</v>
      </c>
      <c r="W650" s="1" t="s">
        <v>1464</v>
      </c>
      <c r="X650" s="1" t="s">
        <v>1517</v>
      </c>
      <c r="Y650" s="2">
        <v>0</v>
      </c>
      <c r="Z650" s="2">
        <v>0</v>
      </c>
      <c r="AA650" s="2">
        <v>0</v>
      </c>
      <c r="AB650" s="2">
        <v>0</v>
      </c>
      <c r="AC650" s="2">
        <v>0</v>
      </c>
      <c r="AD650" s="2">
        <v>0</v>
      </c>
      <c r="AE650" s="2">
        <v>0</v>
      </c>
      <c r="AF650" s="2">
        <v>5</v>
      </c>
      <c r="AG650" s="2">
        <v>9</v>
      </c>
      <c r="AH650" s="2">
        <v>0</v>
      </c>
      <c r="AI650" s="2">
        <v>0</v>
      </c>
      <c r="AJ650" s="2">
        <v>0</v>
      </c>
      <c r="AK650" s="2">
        <v>0</v>
      </c>
      <c r="AL650" s="2">
        <v>0</v>
      </c>
      <c r="AM650" s="2">
        <v>0</v>
      </c>
      <c r="AN650" s="2">
        <v>0</v>
      </c>
      <c r="AO650" s="2">
        <v>0</v>
      </c>
      <c r="AP650" s="2">
        <v>0</v>
      </c>
      <c r="AQ650" s="2">
        <v>0</v>
      </c>
      <c r="AR650" s="2">
        <v>0</v>
      </c>
      <c r="AS650" s="2">
        <v>0</v>
      </c>
      <c r="AT650" s="2">
        <v>0</v>
      </c>
      <c r="AU650" s="2">
        <v>0</v>
      </c>
      <c r="AV650" s="2">
        <v>0</v>
      </c>
      <c r="AW650" s="1">
        <v>646</v>
      </c>
    </row>
    <row r="651" spans="1:49" ht="12.75">
      <c r="A651" s="5">
        <v>9920</v>
      </c>
      <c r="B651" s="2" t="s">
        <v>1578</v>
      </c>
      <c r="C651" s="305">
        <v>0</v>
      </c>
      <c r="D651" s="305">
        <v>0</v>
      </c>
      <c r="E651" s="305">
        <v>0</v>
      </c>
      <c r="F651" s="305">
        <v>0</v>
      </c>
      <c r="G651" s="305">
        <v>0</v>
      </c>
      <c r="H651" s="305">
        <v>198.83</v>
      </c>
      <c r="I651" s="305">
        <v>0</v>
      </c>
      <c r="J651" s="1" t="s">
        <v>812</v>
      </c>
      <c r="K651" s="3" t="s">
        <v>982</v>
      </c>
      <c r="L651" s="365"/>
      <c r="M651" s="2">
        <v>0</v>
      </c>
      <c r="N651" s="311">
        <v>920</v>
      </c>
      <c r="O651" s="310" t="s">
        <v>507</v>
      </c>
      <c r="P651" s="309">
        <v>40</v>
      </c>
      <c r="Q651" s="60" t="s">
        <v>456</v>
      </c>
      <c r="R651" s="309">
        <v>5028</v>
      </c>
      <c r="S651" s="60" t="s">
        <v>207</v>
      </c>
      <c r="T651" s="61">
        <v>170</v>
      </c>
      <c r="U651" s="60" t="s">
        <v>501</v>
      </c>
      <c r="V651" s="1">
        <v>3</v>
      </c>
      <c r="W651" s="1" t="s">
        <v>1464</v>
      </c>
      <c r="X651" s="1" t="s">
        <v>1579</v>
      </c>
      <c r="Y651" s="2">
        <v>0</v>
      </c>
      <c r="Z651" s="2">
        <v>0</v>
      </c>
      <c r="AA651" s="2">
        <v>0</v>
      </c>
      <c r="AB651" s="2">
        <v>0</v>
      </c>
      <c r="AC651" s="2">
        <v>0</v>
      </c>
      <c r="AD651" s="2">
        <v>0</v>
      </c>
      <c r="AE651" s="2">
        <v>0</v>
      </c>
      <c r="AF651" s="2">
        <v>56</v>
      </c>
      <c r="AG651" s="2">
        <v>142.83</v>
      </c>
      <c r="AH651" s="2">
        <v>0</v>
      </c>
      <c r="AI651" s="2">
        <v>0</v>
      </c>
      <c r="AJ651" s="2">
        <v>0</v>
      </c>
      <c r="AK651" s="2">
        <v>0</v>
      </c>
      <c r="AL651" s="2">
        <v>0</v>
      </c>
      <c r="AM651" s="2">
        <v>0</v>
      </c>
      <c r="AN651" s="2">
        <v>0</v>
      </c>
      <c r="AO651" s="2">
        <v>0</v>
      </c>
      <c r="AP651" s="2">
        <v>0</v>
      </c>
      <c r="AQ651" s="2">
        <v>0</v>
      </c>
      <c r="AR651" s="2">
        <v>0</v>
      </c>
      <c r="AS651" s="2">
        <v>0</v>
      </c>
      <c r="AT651" s="2">
        <v>0</v>
      </c>
      <c r="AU651" s="2">
        <v>0</v>
      </c>
      <c r="AV651" s="2">
        <v>0</v>
      </c>
      <c r="AW651" s="1">
        <v>647</v>
      </c>
    </row>
    <row r="652" spans="1:49" ht="12.75">
      <c r="A652" s="5">
        <v>9920</v>
      </c>
      <c r="B652" s="2" t="s">
        <v>1580</v>
      </c>
      <c r="C652" s="305">
        <v>0</v>
      </c>
      <c r="D652" s="305">
        <v>0</v>
      </c>
      <c r="E652" s="305">
        <v>0</v>
      </c>
      <c r="F652" s="305">
        <v>0</v>
      </c>
      <c r="G652" s="305">
        <v>0</v>
      </c>
      <c r="H652" s="305">
        <v>50</v>
      </c>
      <c r="I652" s="305">
        <v>0</v>
      </c>
      <c r="J652" s="1" t="s">
        <v>813</v>
      </c>
      <c r="K652" s="3" t="s">
        <v>982</v>
      </c>
      <c r="L652" s="365"/>
      <c r="M652" s="2">
        <v>0</v>
      </c>
      <c r="N652" s="311">
        <v>920</v>
      </c>
      <c r="O652" s="310" t="s">
        <v>507</v>
      </c>
      <c r="P652" s="309">
        <v>40</v>
      </c>
      <c r="Q652" s="60" t="s">
        <v>456</v>
      </c>
      <c r="R652" s="309">
        <v>5028</v>
      </c>
      <c r="S652" s="60" t="s">
        <v>207</v>
      </c>
      <c r="T652" s="61">
        <v>170</v>
      </c>
      <c r="U652" s="60" t="s">
        <v>501</v>
      </c>
      <c r="V652" s="1">
        <v>3</v>
      </c>
      <c r="W652" s="1" t="s">
        <v>1464</v>
      </c>
      <c r="X652" s="1" t="s">
        <v>1581</v>
      </c>
      <c r="Y652" s="2">
        <v>0</v>
      </c>
      <c r="Z652" s="2">
        <v>0</v>
      </c>
      <c r="AA652" s="2">
        <v>0</v>
      </c>
      <c r="AB652" s="2">
        <v>0</v>
      </c>
      <c r="AC652" s="2">
        <v>0</v>
      </c>
      <c r="AD652" s="2">
        <v>0</v>
      </c>
      <c r="AE652" s="2">
        <v>0</v>
      </c>
      <c r="AF652" s="2">
        <v>22</v>
      </c>
      <c r="AG652" s="2">
        <v>28</v>
      </c>
      <c r="AH652" s="2">
        <v>0</v>
      </c>
      <c r="AI652" s="2">
        <v>0</v>
      </c>
      <c r="AJ652" s="2">
        <v>0</v>
      </c>
      <c r="AK652" s="2">
        <v>0</v>
      </c>
      <c r="AL652" s="2">
        <v>0</v>
      </c>
      <c r="AM652" s="2">
        <v>0</v>
      </c>
      <c r="AN652" s="2">
        <v>0</v>
      </c>
      <c r="AO652" s="2">
        <v>0</v>
      </c>
      <c r="AP652" s="2">
        <v>0</v>
      </c>
      <c r="AQ652" s="2">
        <v>0</v>
      </c>
      <c r="AR652" s="2">
        <v>0</v>
      </c>
      <c r="AS652" s="2">
        <v>0</v>
      </c>
      <c r="AT652" s="2">
        <v>0</v>
      </c>
      <c r="AU652" s="2">
        <v>0</v>
      </c>
      <c r="AV652" s="2">
        <v>0</v>
      </c>
      <c r="AW652" s="1">
        <v>648</v>
      </c>
    </row>
    <row r="653" spans="1:49" ht="12.75">
      <c r="A653" s="5">
        <v>9920</v>
      </c>
      <c r="B653" s="2" t="s">
        <v>1582</v>
      </c>
      <c r="C653" s="305">
        <v>0</v>
      </c>
      <c r="D653" s="305">
        <v>0</v>
      </c>
      <c r="E653" s="305">
        <v>0</v>
      </c>
      <c r="F653" s="305">
        <v>0</v>
      </c>
      <c r="G653" s="305">
        <v>0</v>
      </c>
      <c r="H653" s="305">
        <v>181</v>
      </c>
      <c r="I653" s="305">
        <v>0</v>
      </c>
      <c r="J653" s="1" t="s">
        <v>814</v>
      </c>
      <c r="K653" s="3" t="s">
        <v>982</v>
      </c>
      <c r="L653" s="365"/>
      <c r="M653" s="2">
        <v>0</v>
      </c>
      <c r="N653" s="311">
        <v>920</v>
      </c>
      <c r="O653" s="310" t="s">
        <v>507</v>
      </c>
      <c r="P653" s="309">
        <v>40</v>
      </c>
      <c r="Q653" s="60" t="s">
        <v>456</v>
      </c>
      <c r="R653" s="309">
        <v>5029</v>
      </c>
      <c r="S653" s="60" t="s">
        <v>208</v>
      </c>
      <c r="T653" s="61">
        <v>170</v>
      </c>
      <c r="U653" s="60" t="s">
        <v>501</v>
      </c>
      <c r="V653" s="1">
        <v>3</v>
      </c>
      <c r="W653" s="1" t="s">
        <v>1464</v>
      </c>
      <c r="X653" s="1" t="s">
        <v>1515</v>
      </c>
      <c r="Y653" s="2">
        <v>0</v>
      </c>
      <c r="Z653" s="2">
        <v>0</v>
      </c>
      <c r="AA653" s="2">
        <v>0</v>
      </c>
      <c r="AB653" s="2">
        <v>0</v>
      </c>
      <c r="AC653" s="2">
        <v>0</v>
      </c>
      <c r="AD653" s="2">
        <v>0</v>
      </c>
      <c r="AE653" s="2">
        <v>0</v>
      </c>
      <c r="AF653" s="2">
        <v>45</v>
      </c>
      <c r="AG653" s="2">
        <v>136</v>
      </c>
      <c r="AH653" s="2">
        <v>0</v>
      </c>
      <c r="AI653" s="2">
        <v>0</v>
      </c>
      <c r="AJ653" s="2">
        <v>0</v>
      </c>
      <c r="AK653" s="2">
        <v>0</v>
      </c>
      <c r="AL653" s="2">
        <v>0</v>
      </c>
      <c r="AM653" s="2">
        <v>0</v>
      </c>
      <c r="AN653" s="2">
        <v>0</v>
      </c>
      <c r="AO653" s="2">
        <v>0</v>
      </c>
      <c r="AP653" s="2">
        <v>0</v>
      </c>
      <c r="AQ653" s="2">
        <v>0</v>
      </c>
      <c r="AR653" s="2">
        <v>0</v>
      </c>
      <c r="AS653" s="2">
        <v>0</v>
      </c>
      <c r="AT653" s="2">
        <v>0</v>
      </c>
      <c r="AU653" s="2">
        <v>0</v>
      </c>
      <c r="AV653" s="2">
        <v>0</v>
      </c>
      <c r="AW653" s="1">
        <v>649</v>
      </c>
    </row>
    <row r="654" spans="1:49" ht="12.75">
      <c r="A654" s="5">
        <v>9920</v>
      </c>
      <c r="B654" s="2" t="s">
        <v>1583</v>
      </c>
      <c r="C654" s="305">
        <v>0</v>
      </c>
      <c r="D654" s="305">
        <v>0</v>
      </c>
      <c r="E654" s="305">
        <v>0</v>
      </c>
      <c r="F654" s="305">
        <v>0</v>
      </c>
      <c r="G654" s="305">
        <v>0</v>
      </c>
      <c r="H654" s="305">
        <v>16</v>
      </c>
      <c r="I654" s="305">
        <v>0</v>
      </c>
      <c r="J654" s="1" t="s">
        <v>817</v>
      </c>
      <c r="K654" s="3" t="s">
        <v>982</v>
      </c>
      <c r="L654" s="365"/>
      <c r="M654" s="2">
        <v>0</v>
      </c>
      <c r="N654" s="311">
        <v>920</v>
      </c>
      <c r="O654" s="310" t="s">
        <v>507</v>
      </c>
      <c r="P654" s="309">
        <v>40</v>
      </c>
      <c r="Q654" s="60" t="s">
        <v>456</v>
      </c>
      <c r="R654" s="309">
        <v>5029</v>
      </c>
      <c r="S654" s="60" t="s">
        <v>208</v>
      </c>
      <c r="T654" s="61">
        <v>170</v>
      </c>
      <c r="U654" s="60" t="s">
        <v>501</v>
      </c>
      <c r="V654" s="1">
        <v>3</v>
      </c>
      <c r="W654" s="1" t="s">
        <v>1464</v>
      </c>
      <c r="X654" s="1" t="s">
        <v>1584</v>
      </c>
      <c r="Y654" s="2">
        <v>0</v>
      </c>
      <c r="Z654" s="2">
        <v>0</v>
      </c>
      <c r="AA654" s="2">
        <v>0</v>
      </c>
      <c r="AB654" s="2">
        <v>0</v>
      </c>
      <c r="AC654" s="2">
        <v>0</v>
      </c>
      <c r="AD654" s="2">
        <v>0</v>
      </c>
      <c r="AE654" s="2">
        <v>0</v>
      </c>
      <c r="AF654" s="2">
        <v>0</v>
      </c>
      <c r="AG654" s="2">
        <v>16</v>
      </c>
      <c r="AH654" s="2">
        <v>0</v>
      </c>
      <c r="AI654" s="2">
        <v>0</v>
      </c>
      <c r="AJ654" s="2">
        <v>0</v>
      </c>
      <c r="AK654" s="2">
        <v>0</v>
      </c>
      <c r="AL654" s="2">
        <v>0</v>
      </c>
      <c r="AM654" s="2">
        <v>0</v>
      </c>
      <c r="AN654" s="2">
        <v>0</v>
      </c>
      <c r="AO654" s="2">
        <v>0</v>
      </c>
      <c r="AP654" s="2">
        <v>0</v>
      </c>
      <c r="AQ654" s="2">
        <v>0</v>
      </c>
      <c r="AR654" s="2">
        <v>0</v>
      </c>
      <c r="AS654" s="2">
        <v>0</v>
      </c>
      <c r="AT654" s="2">
        <v>0</v>
      </c>
      <c r="AU654" s="2">
        <v>0</v>
      </c>
      <c r="AV654" s="2">
        <v>0</v>
      </c>
      <c r="AW654" s="1">
        <v>650</v>
      </c>
    </row>
    <row r="655" spans="1:49" ht="12.75">
      <c r="A655" s="5">
        <v>9920</v>
      </c>
      <c r="B655" s="2" t="s">
        <v>1585</v>
      </c>
      <c r="C655" s="305">
        <v>0</v>
      </c>
      <c r="D655" s="305">
        <v>0</v>
      </c>
      <c r="E655" s="305">
        <v>0</v>
      </c>
      <c r="F655" s="305">
        <v>0</v>
      </c>
      <c r="G655" s="305">
        <v>0</v>
      </c>
      <c r="H655" s="305">
        <v>1</v>
      </c>
      <c r="I655" s="305">
        <v>0</v>
      </c>
      <c r="J655" s="1" t="s">
        <v>818</v>
      </c>
      <c r="K655" s="3" t="s">
        <v>982</v>
      </c>
      <c r="L655" s="365"/>
      <c r="M655" s="2">
        <v>0</v>
      </c>
      <c r="N655" s="311">
        <v>920</v>
      </c>
      <c r="O655" s="310" t="s">
        <v>507</v>
      </c>
      <c r="P655" s="309">
        <v>40</v>
      </c>
      <c r="Q655" s="60" t="s">
        <v>456</v>
      </c>
      <c r="R655" s="309">
        <v>5029</v>
      </c>
      <c r="S655" s="60" t="s">
        <v>208</v>
      </c>
      <c r="T655" s="61">
        <v>170</v>
      </c>
      <c r="U655" s="60" t="s">
        <v>501</v>
      </c>
      <c r="V655" s="1">
        <v>3</v>
      </c>
      <c r="W655" s="1" t="s">
        <v>1464</v>
      </c>
      <c r="X655" s="1" t="s">
        <v>1586</v>
      </c>
      <c r="Y655" s="2">
        <v>0</v>
      </c>
      <c r="Z655" s="2">
        <v>0</v>
      </c>
      <c r="AA655" s="2">
        <v>0</v>
      </c>
      <c r="AB655" s="2">
        <v>0</v>
      </c>
      <c r="AC655" s="2">
        <v>0</v>
      </c>
      <c r="AD655" s="2">
        <v>0</v>
      </c>
      <c r="AE655" s="2">
        <v>0</v>
      </c>
      <c r="AF655" s="2">
        <v>0</v>
      </c>
      <c r="AG655" s="2">
        <v>1</v>
      </c>
      <c r="AH655" s="2">
        <v>0</v>
      </c>
      <c r="AI655" s="2">
        <v>0</v>
      </c>
      <c r="AJ655" s="2">
        <v>0</v>
      </c>
      <c r="AK655" s="2">
        <v>0</v>
      </c>
      <c r="AL655" s="2">
        <v>0</v>
      </c>
      <c r="AM655" s="2">
        <v>0</v>
      </c>
      <c r="AN655" s="2">
        <v>0</v>
      </c>
      <c r="AO655" s="2">
        <v>0</v>
      </c>
      <c r="AP655" s="2">
        <v>0</v>
      </c>
      <c r="AQ655" s="2">
        <v>0</v>
      </c>
      <c r="AR655" s="2">
        <v>0</v>
      </c>
      <c r="AS655" s="2">
        <v>0</v>
      </c>
      <c r="AT655" s="2">
        <v>0</v>
      </c>
      <c r="AU655" s="2">
        <v>0</v>
      </c>
      <c r="AV655" s="2">
        <v>0</v>
      </c>
      <c r="AW655" s="1">
        <v>651</v>
      </c>
    </row>
    <row r="656" spans="1:49" ht="12.75">
      <c r="A656" s="5">
        <v>9920</v>
      </c>
      <c r="B656" s="2" t="s">
        <v>1587</v>
      </c>
      <c r="C656" s="305">
        <v>1</v>
      </c>
      <c r="D656" s="305">
        <v>0</v>
      </c>
      <c r="E656" s="305">
        <v>0</v>
      </c>
      <c r="F656" s="305">
        <v>70</v>
      </c>
      <c r="G656" s="305">
        <v>0</v>
      </c>
      <c r="H656" s="305">
        <v>0</v>
      </c>
      <c r="I656" s="305">
        <v>0</v>
      </c>
      <c r="J656" s="1" t="s">
        <v>819</v>
      </c>
      <c r="K656" s="3" t="s">
        <v>982</v>
      </c>
      <c r="L656" s="365"/>
      <c r="M656" s="2">
        <v>70</v>
      </c>
      <c r="N656" s="311">
        <v>920</v>
      </c>
      <c r="O656" s="310" t="s">
        <v>507</v>
      </c>
      <c r="P656" s="309">
        <v>40</v>
      </c>
      <c r="Q656" s="60" t="s">
        <v>456</v>
      </c>
      <c r="R656" s="309">
        <v>5020</v>
      </c>
      <c r="S656" s="60" t="s">
        <v>205</v>
      </c>
      <c r="T656" s="61">
        <v>240</v>
      </c>
      <c r="U656" s="60" t="s">
        <v>788</v>
      </c>
      <c r="V656" s="1">
        <v>3</v>
      </c>
      <c r="W656" s="1" t="s">
        <v>1464</v>
      </c>
      <c r="X656" s="1" t="s">
        <v>1521</v>
      </c>
      <c r="Y656" s="2">
        <v>0</v>
      </c>
      <c r="Z656" s="2">
        <v>0</v>
      </c>
      <c r="AA656" s="2">
        <v>0</v>
      </c>
      <c r="AB656" s="2">
        <v>0</v>
      </c>
      <c r="AC656" s="2">
        <v>0</v>
      </c>
      <c r="AD656" s="2">
        <v>0</v>
      </c>
      <c r="AE656" s="2">
        <v>0</v>
      </c>
      <c r="AF656" s="2">
        <v>0</v>
      </c>
      <c r="AG656" s="2">
        <v>0</v>
      </c>
      <c r="AH656" s="2">
        <v>0</v>
      </c>
      <c r="AI656" s="2">
        <v>0</v>
      </c>
      <c r="AJ656" s="2">
        <v>0</v>
      </c>
      <c r="AK656" s="2">
        <v>3</v>
      </c>
      <c r="AL656" s="2">
        <v>8</v>
      </c>
      <c r="AM656" s="2">
        <v>11</v>
      </c>
      <c r="AN656" s="2">
        <v>3</v>
      </c>
      <c r="AO656" s="2">
        <v>4</v>
      </c>
      <c r="AP656" s="2">
        <v>9</v>
      </c>
      <c r="AQ656" s="2">
        <v>12</v>
      </c>
      <c r="AR656" s="2">
        <v>12</v>
      </c>
      <c r="AS656" s="2">
        <v>6</v>
      </c>
      <c r="AT656" s="2">
        <v>1</v>
      </c>
      <c r="AU656" s="2">
        <v>0</v>
      </c>
      <c r="AV656" s="2">
        <v>1</v>
      </c>
      <c r="AW656" s="1">
        <v>652</v>
      </c>
    </row>
    <row r="657" spans="1:49" ht="12.75">
      <c r="A657" s="5">
        <v>9929</v>
      </c>
      <c r="B657" s="2" t="s">
        <v>1588</v>
      </c>
      <c r="C657" s="305">
        <v>-5</v>
      </c>
      <c r="D657" s="305">
        <v>0</v>
      </c>
      <c r="E657" s="305">
        <v>-318.86</v>
      </c>
      <c r="F657" s="305">
        <v>-170.47</v>
      </c>
      <c r="G657" s="305">
        <v>0</v>
      </c>
      <c r="H657" s="305">
        <v>-503</v>
      </c>
      <c r="I657" s="305">
        <v>0</v>
      </c>
      <c r="J657" s="1" t="s">
        <v>597</v>
      </c>
      <c r="K657" s="3" t="s">
        <v>982</v>
      </c>
      <c r="L657" s="365"/>
      <c r="M657" s="2">
        <v>-170.47</v>
      </c>
      <c r="N657" s="311">
        <v>929</v>
      </c>
      <c r="O657" s="310" t="s">
        <v>1589</v>
      </c>
      <c r="P657" s="309">
        <v>10</v>
      </c>
      <c r="Q657" s="60" t="s">
        <v>454</v>
      </c>
      <c r="R657" s="309">
        <v>1001</v>
      </c>
      <c r="S657" s="60" t="s">
        <v>455</v>
      </c>
      <c r="T657" s="61">
        <v>110</v>
      </c>
      <c r="U657" s="60" t="s">
        <v>495</v>
      </c>
      <c r="V657" s="1">
        <v>3</v>
      </c>
      <c r="W657" s="1" t="s">
        <v>1464</v>
      </c>
      <c r="X657" s="1" t="s">
        <v>1590</v>
      </c>
      <c r="Y657" s="2">
        <v>4.33</v>
      </c>
      <c r="Z657" s="2">
        <v>-150.45</v>
      </c>
      <c r="AA657" s="2">
        <v>40.35</v>
      </c>
      <c r="AB657" s="2">
        <v>-52.9</v>
      </c>
      <c r="AC657" s="2">
        <v>-15.98</v>
      </c>
      <c r="AD657" s="2">
        <v>-180.21</v>
      </c>
      <c r="AE657" s="2">
        <v>49.36</v>
      </c>
      <c r="AF657" s="2">
        <v>0</v>
      </c>
      <c r="AG657" s="2">
        <v>181.45</v>
      </c>
      <c r="AH657" s="2">
        <v>-71.3</v>
      </c>
      <c r="AI657" s="2">
        <v>11.21</v>
      </c>
      <c r="AJ657" s="2">
        <v>-318.86</v>
      </c>
      <c r="AK657" s="2">
        <v>25</v>
      </c>
      <c r="AL657" s="2">
        <v>12</v>
      </c>
      <c r="AM657" s="2">
        <v>22</v>
      </c>
      <c r="AN657" s="2">
        <v>91</v>
      </c>
      <c r="AO657" s="2">
        <v>-123</v>
      </c>
      <c r="AP657" s="2">
        <v>-1</v>
      </c>
      <c r="AQ657" s="2">
        <v>50</v>
      </c>
      <c r="AR657" s="2">
        <v>-88.47</v>
      </c>
      <c r="AS657" s="2">
        <v>44</v>
      </c>
      <c r="AT657" s="2">
        <v>9</v>
      </c>
      <c r="AU657" s="2">
        <v>-206</v>
      </c>
      <c r="AV657" s="2">
        <v>-5</v>
      </c>
      <c r="AW657" s="1">
        <v>653</v>
      </c>
    </row>
    <row r="658" spans="1:49" ht="12.75">
      <c r="A658" s="5">
        <v>9929</v>
      </c>
      <c r="B658" s="2" t="s">
        <v>1591</v>
      </c>
      <c r="C658" s="305">
        <v>-408</v>
      </c>
      <c r="D658" s="305">
        <v>0</v>
      </c>
      <c r="E658" s="305">
        <v>-236</v>
      </c>
      <c r="F658" s="305">
        <v>-3216.21</v>
      </c>
      <c r="G658" s="305">
        <v>0</v>
      </c>
      <c r="H658" s="305">
        <v>-2890.53</v>
      </c>
      <c r="I658" s="305">
        <v>0</v>
      </c>
      <c r="J658" s="1" t="s">
        <v>596</v>
      </c>
      <c r="K658" s="3" t="s">
        <v>982</v>
      </c>
      <c r="L658" s="365"/>
      <c r="M658" s="2">
        <v>-3216.21</v>
      </c>
      <c r="N658" s="311">
        <v>929</v>
      </c>
      <c r="O658" s="310" t="s">
        <v>1589</v>
      </c>
      <c r="P658" s="309">
        <v>10</v>
      </c>
      <c r="Q658" s="60" t="s">
        <v>454</v>
      </c>
      <c r="R658" s="309">
        <v>1001</v>
      </c>
      <c r="S658" s="60" t="s">
        <v>455</v>
      </c>
      <c r="T658" s="61">
        <v>110</v>
      </c>
      <c r="U658" s="60" t="s">
        <v>495</v>
      </c>
      <c r="V658" s="1">
        <v>3</v>
      </c>
      <c r="W658" s="1" t="s">
        <v>1464</v>
      </c>
      <c r="X658" s="1" t="s">
        <v>1592</v>
      </c>
      <c r="Y658" s="2">
        <v>-361.92</v>
      </c>
      <c r="Z658" s="2">
        <v>-530.07</v>
      </c>
      <c r="AA658" s="2">
        <v>-501.69</v>
      </c>
      <c r="AB658" s="2">
        <v>35.84</v>
      </c>
      <c r="AC658" s="2">
        <v>-484.19</v>
      </c>
      <c r="AD658" s="2">
        <v>233.3</v>
      </c>
      <c r="AE658" s="2">
        <v>3297.16</v>
      </c>
      <c r="AF658" s="2">
        <v>0</v>
      </c>
      <c r="AG658" s="2">
        <v>-1843.04</v>
      </c>
      <c r="AH658" s="2">
        <v>-1727</v>
      </c>
      <c r="AI658" s="2">
        <v>-772.92</v>
      </c>
      <c r="AJ658" s="2">
        <v>-236</v>
      </c>
      <c r="AK658" s="2">
        <v>-556</v>
      </c>
      <c r="AL658" s="2">
        <v>71</v>
      </c>
      <c r="AM658" s="2">
        <v>-887</v>
      </c>
      <c r="AN658" s="2">
        <v>-220</v>
      </c>
      <c r="AO658" s="2">
        <v>192</v>
      </c>
      <c r="AP658" s="2">
        <v>-422</v>
      </c>
      <c r="AQ658" s="2">
        <v>-37</v>
      </c>
      <c r="AR658" s="2">
        <v>14.79</v>
      </c>
      <c r="AS658" s="2">
        <v>-341</v>
      </c>
      <c r="AT658" s="2">
        <v>-256</v>
      </c>
      <c r="AU658" s="2">
        <v>-367</v>
      </c>
      <c r="AV658" s="2">
        <v>-408</v>
      </c>
      <c r="AW658" s="1">
        <v>654</v>
      </c>
    </row>
    <row r="659" spans="1:49" ht="12.75">
      <c r="A659" s="5">
        <v>9929</v>
      </c>
      <c r="B659" s="2" t="s">
        <v>1593</v>
      </c>
      <c r="C659" s="305">
        <v>-70</v>
      </c>
      <c r="D659" s="305">
        <v>0</v>
      </c>
      <c r="E659" s="305">
        <v>-125</v>
      </c>
      <c r="F659" s="305">
        <v>359.36</v>
      </c>
      <c r="G659" s="305">
        <v>0</v>
      </c>
      <c r="H659" s="305">
        <v>-1236.62</v>
      </c>
      <c r="I659" s="305">
        <v>0</v>
      </c>
      <c r="J659" s="1" t="s">
        <v>599</v>
      </c>
      <c r="K659" s="3" t="s">
        <v>982</v>
      </c>
      <c r="L659" s="365"/>
      <c r="M659" s="2">
        <v>359.36</v>
      </c>
      <c r="N659" s="311">
        <v>929</v>
      </c>
      <c r="O659" s="310" t="s">
        <v>1589</v>
      </c>
      <c r="P659" s="309">
        <v>10</v>
      </c>
      <c r="Q659" s="60" t="s">
        <v>454</v>
      </c>
      <c r="R659" s="309">
        <v>1001</v>
      </c>
      <c r="S659" s="60" t="s">
        <v>455</v>
      </c>
      <c r="T659" s="61">
        <v>110</v>
      </c>
      <c r="U659" s="60" t="s">
        <v>495</v>
      </c>
      <c r="V659" s="1">
        <v>3</v>
      </c>
      <c r="W659" s="1" t="s">
        <v>1464</v>
      </c>
      <c r="X659" s="1" t="s">
        <v>1594</v>
      </c>
      <c r="Y659" s="2">
        <v>-262.24</v>
      </c>
      <c r="Z659" s="2">
        <v>-264.99</v>
      </c>
      <c r="AA659" s="2">
        <v>-104.36</v>
      </c>
      <c r="AB659" s="2">
        <v>61</v>
      </c>
      <c r="AC659" s="2">
        <v>-53.34</v>
      </c>
      <c r="AD659" s="2">
        <v>173.59</v>
      </c>
      <c r="AE659" s="2">
        <v>1603.27</v>
      </c>
      <c r="AF659" s="2">
        <v>0</v>
      </c>
      <c r="AG659" s="2">
        <v>169.74</v>
      </c>
      <c r="AH659" s="2">
        <v>-2227</v>
      </c>
      <c r="AI659" s="2">
        <v>-207.29</v>
      </c>
      <c r="AJ659" s="2">
        <v>-125</v>
      </c>
      <c r="AK659" s="2">
        <v>-86</v>
      </c>
      <c r="AL659" s="2">
        <v>-401</v>
      </c>
      <c r="AM659" s="2">
        <v>-8</v>
      </c>
      <c r="AN659" s="2">
        <v>92</v>
      </c>
      <c r="AO659" s="2">
        <v>130</v>
      </c>
      <c r="AP659" s="2">
        <v>154</v>
      </c>
      <c r="AQ659" s="2">
        <v>293</v>
      </c>
      <c r="AR659" s="2">
        <v>99.36</v>
      </c>
      <c r="AS659" s="2">
        <v>50</v>
      </c>
      <c r="AT659" s="2">
        <v>42</v>
      </c>
      <c r="AU659" s="2">
        <v>64</v>
      </c>
      <c r="AV659" s="2">
        <v>-70</v>
      </c>
      <c r="AW659" s="1">
        <v>655</v>
      </c>
    </row>
    <row r="660" spans="1:49" ht="12.75">
      <c r="A660" s="5">
        <v>9929</v>
      </c>
      <c r="B660" s="2" t="s">
        <v>1595</v>
      </c>
      <c r="C660" s="305">
        <v>-2</v>
      </c>
      <c r="D660" s="305">
        <v>0</v>
      </c>
      <c r="E660" s="305">
        <v>-39.16</v>
      </c>
      <c r="F660" s="305">
        <v>-18.31</v>
      </c>
      <c r="G660" s="305">
        <v>0</v>
      </c>
      <c r="H660" s="305">
        <v>61.32</v>
      </c>
      <c r="I660" s="305">
        <v>0</v>
      </c>
      <c r="J660" s="1" t="s">
        <v>598</v>
      </c>
      <c r="K660" s="3" t="s">
        <v>982</v>
      </c>
      <c r="L660" s="365"/>
      <c r="M660" s="2">
        <v>-18.31</v>
      </c>
      <c r="N660" s="311">
        <v>929</v>
      </c>
      <c r="O660" s="310" t="s">
        <v>1589</v>
      </c>
      <c r="P660" s="309">
        <v>10</v>
      </c>
      <c r="Q660" s="60" t="s">
        <v>454</v>
      </c>
      <c r="R660" s="309">
        <v>1001</v>
      </c>
      <c r="S660" s="60" t="s">
        <v>455</v>
      </c>
      <c r="T660" s="61">
        <v>110</v>
      </c>
      <c r="U660" s="60" t="s">
        <v>495</v>
      </c>
      <c r="V660" s="1">
        <v>3</v>
      </c>
      <c r="W660" s="1" t="s">
        <v>1464</v>
      </c>
      <c r="X660" s="1" t="s">
        <v>1596</v>
      </c>
      <c r="Y660" s="2">
        <v>7.19</v>
      </c>
      <c r="Z660" s="2">
        <v>-70.27</v>
      </c>
      <c r="AA660" s="2">
        <v>86.66</v>
      </c>
      <c r="AB660" s="2">
        <v>-1</v>
      </c>
      <c r="AC660" s="2">
        <v>39.97</v>
      </c>
      <c r="AD660" s="2">
        <v>31.12</v>
      </c>
      <c r="AE660" s="2">
        <v>139.52</v>
      </c>
      <c r="AF660" s="2">
        <v>0</v>
      </c>
      <c r="AG660" s="2">
        <v>-16.34</v>
      </c>
      <c r="AH660" s="2">
        <v>-126.77</v>
      </c>
      <c r="AI660" s="2">
        <v>10.4</v>
      </c>
      <c r="AJ660" s="2">
        <v>-39.16</v>
      </c>
      <c r="AK660" s="2">
        <v>29</v>
      </c>
      <c r="AL660" s="2">
        <v>0</v>
      </c>
      <c r="AM660" s="2">
        <v>-77</v>
      </c>
      <c r="AN660" s="2">
        <v>69</v>
      </c>
      <c r="AO660" s="2">
        <v>32</v>
      </c>
      <c r="AP660" s="2">
        <v>-18</v>
      </c>
      <c r="AQ660" s="2">
        <v>23</v>
      </c>
      <c r="AR660" s="2">
        <v>-18.31</v>
      </c>
      <c r="AS660" s="2">
        <v>18</v>
      </c>
      <c r="AT660" s="2">
        <v>-4</v>
      </c>
      <c r="AU660" s="2">
        <v>-70</v>
      </c>
      <c r="AV660" s="2">
        <v>-2</v>
      </c>
      <c r="AW660" s="1">
        <v>656</v>
      </c>
    </row>
    <row r="661" spans="1:49" ht="12.75">
      <c r="A661" s="5">
        <v>9929</v>
      </c>
      <c r="B661" s="2" t="s">
        <v>1597</v>
      </c>
      <c r="C661" s="305">
        <v>-92</v>
      </c>
      <c r="D661" s="305">
        <v>0</v>
      </c>
      <c r="E661" s="305">
        <v>-291</v>
      </c>
      <c r="F661" s="305">
        <v>-2260.71</v>
      </c>
      <c r="G661" s="305">
        <v>0</v>
      </c>
      <c r="H661" s="305">
        <v>-3221.25</v>
      </c>
      <c r="I661" s="305">
        <v>0</v>
      </c>
      <c r="J661" s="1" t="s">
        <v>600</v>
      </c>
      <c r="K661" s="3" t="s">
        <v>982</v>
      </c>
      <c r="L661" s="365"/>
      <c r="M661" s="2">
        <v>-2260.71</v>
      </c>
      <c r="N661" s="311">
        <v>929</v>
      </c>
      <c r="O661" s="310" t="s">
        <v>1589</v>
      </c>
      <c r="P661" s="309">
        <v>10</v>
      </c>
      <c r="Q661" s="60" t="s">
        <v>454</v>
      </c>
      <c r="R661" s="309">
        <v>1001</v>
      </c>
      <c r="S661" s="60" t="s">
        <v>455</v>
      </c>
      <c r="T661" s="61">
        <v>110</v>
      </c>
      <c r="U661" s="60" t="s">
        <v>495</v>
      </c>
      <c r="V661" s="1">
        <v>3</v>
      </c>
      <c r="W661" s="1" t="s">
        <v>1464</v>
      </c>
      <c r="X661" s="1" t="s">
        <v>1598</v>
      </c>
      <c r="Y661" s="2">
        <v>-120.07</v>
      </c>
      <c r="Z661" s="2">
        <v>-251.32</v>
      </c>
      <c r="AA661" s="2">
        <v>-491.86</v>
      </c>
      <c r="AB661" s="2">
        <v>-32</v>
      </c>
      <c r="AC661" s="2">
        <v>-441.54</v>
      </c>
      <c r="AD661" s="2">
        <v>-118.89</v>
      </c>
      <c r="AE661" s="2">
        <v>-351.49</v>
      </c>
      <c r="AF661" s="2">
        <v>0</v>
      </c>
      <c r="AG661" s="2">
        <v>611.86</v>
      </c>
      <c r="AH661" s="2">
        <v>-1712</v>
      </c>
      <c r="AI661" s="2">
        <v>-22.94</v>
      </c>
      <c r="AJ661" s="2">
        <v>-291</v>
      </c>
      <c r="AK661" s="2">
        <v>134</v>
      </c>
      <c r="AL661" s="2">
        <v>-293</v>
      </c>
      <c r="AM661" s="2">
        <v>-862</v>
      </c>
      <c r="AN661" s="2">
        <v>-236</v>
      </c>
      <c r="AO661" s="2">
        <v>-231</v>
      </c>
      <c r="AP661" s="2">
        <v>-125</v>
      </c>
      <c r="AQ661" s="2">
        <v>32</v>
      </c>
      <c r="AR661" s="2">
        <v>-119.71</v>
      </c>
      <c r="AS661" s="2">
        <v>-100</v>
      </c>
      <c r="AT661" s="2">
        <v>-47</v>
      </c>
      <c r="AU661" s="2">
        <v>-321</v>
      </c>
      <c r="AV661" s="2">
        <v>-92</v>
      </c>
      <c r="AW661" s="1">
        <v>657</v>
      </c>
    </row>
    <row r="662" spans="1:49" ht="12.75">
      <c r="A662" s="5">
        <v>9998</v>
      </c>
      <c r="B662" s="2" t="s">
        <v>1599</v>
      </c>
      <c r="C662" s="305">
        <v>-134428.28</v>
      </c>
      <c r="D662" s="305">
        <v>0</v>
      </c>
      <c r="E662" s="305">
        <v>-126133.93</v>
      </c>
      <c r="F662" s="305">
        <v>-1828559.39</v>
      </c>
      <c r="G662" s="305">
        <v>0</v>
      </c>
      <c r="H662" s="305">
        <v>-1952707.46</v>
      </c>
      <c r="I662" s="305">
        <v>0</v>
      </c>
      <c r="K662" s="3" t="s">
        <v>982</v>
      </c>
      <c r="L662" s="365"/>
      <c r="M662" s="2">
        <v>-1828559.39</v>
      </c>
      <c r="N662" s="311">
        <v>999</v>
      </c>
      <c r="O662" s="310" t="s">
        <v>462</v>
      </c>
      <c r="V662" s="1">
        <v>0</v>
      </c>
      <c r="W662" s="1" t="s">
        <v>1464</v>
      </c>
      <c r="X662" s="1" t="s">
        <v>1600</v>
      </c>
      <c r="Y662" s="2">
        <v>-127924.58</v>
      </c>
      <c r="Z662" s="2">
        <v>-119247.8</v>
      </c>
      <c r="AA662" s="2">
        <v>-145507.2</v>
      </c>
      <c r="AB662" s="2">
        <v>-138931.82</v>
      </c>
      <c r="AC662" s="2">
        <v>-181169.84</v>
      </c>
      <c r="AD662" s="2">
        <v>-195890.82</v>
      </c>
      <c r="AE662" s="2">
        <v>-260476.64</v>
      </c>
      <c r="AF662" s="2">
        <v>-205354.44</v>
      </c>
      <c r="AG662" s="2">
        <v>-162418.46</v>
      </c>
      <c r="AH662" s="2">
        <v>-149554.22</v>
      </c>
      <c r="AI662" s="2">
        <v>-140097.71</v>
      </c>
      <c r="AJ662" s="2">
        <v>-126133.93</v>
      </c>
      <c r="AK662" s="2">
        <v>-113938.16</v>
      </c>
      <c r="AL662" s="2">
        <v>-111759.48</v>
      </c>
      <c r="AM662" s="2">
        <v>-141163.62</v>
      </c>
      <c r="AN662" s="2">
        <v>-153453.88</v>
      </c>
      <c r="AO662" s="2">
        <v>-158279.7</v>
      </c>
      <c r="AP662" s="2">
        <v>-187730.28</v>
      </c>
      <c r="AQ662" s="2">
        <v>-215139.24</v>
      </c>
      <c r="AR662" s="2">
        <v>-190243.71</v>
      </c>
      <c r="AS662" s="2">
        <v>-155290.01</v>
      </c>
      <c r="AT662" s="2">
        <v>-138909.2</v>
      </c>
      <c r="AU662" s="2">
        <v>-128223.83</v>
      </c>
      <c r="AV662" s="2">
        <v>-134428.28</v>
      </c>
      <c r="AW662" s="1">
        <v>658</v>
      </c>
    </row>
    <row r="663" ht="12.75">
      <c r="L663" s="365"/>
    </row>
    <row r="664" ht="12.75">
      <c r="L664" s="365"/>
    </row>
    <row r="665" ht="12.75">
      <c r="L665" s="365"/>
    </row>
    <row r="666" ht="12.75">
      <c r="L666" s="365"/>
    </row>
    <row r="667" ht="12.75">
      <c r="L667" s="365"/>
    </row>
    <row r="668" ht="12.75">
      <c r="L668" s="365"/>
    </row>
    <row r="669" ht="12.75">
      <c r="L669" s="365"/>
    </row>
    <row r="670" ht="12.75">
      <c r="L670" s="365"/>
    </row>
    <row r="671" ht="12.75">
      <c r="L671" s="365"/>
    </row>
    <row r="672" ht="12.75">
      <c r="L672" s="365"/>
    </row>
    <row r="673" ht="12.75">
      <c r="L673" s="365"/>
    </row>
    <row r="674" ht="12.75">
      <c r="L674" s="365"/>
    </row>
    <row r="675" ht="12.75">
      <c r="L675" s="365"/>
    </row>
    <row r="676" ht="12.75">
      <c r="L676" s="365"/>
    </row>
    <row r="677" ht="12.75">
      <c r="L677" s="365"/>
    </row>
    <row r="678" ht="12.75">
      <c r="L678" s="365"/>
    </row>
    <row r="679" ht="12.75">
      <c r="L679" s="365"/>
    </row>
    <row r="680" ht="12.75">
      <c r="L680" s="365"/>
    </row>
    <row r="681" ht="12.75">
      <c r="L681" s="365"/>
    </row>
    <row r="682" ht="12.75">
      <c r="L682" s="365"/>
    </row>
    <row r="683" ht="12.75">
      <c r="L683" s="365"/>
    </row>
    <row r="684" ht="12.75">
      <c r="L684" s="365"/>
    </row>
    <row r="685" ht="12.75">
      <c r="L685" s="365"/>
    </row>
    <row r="686" ht="12.75">
      <c r="L686" s="365"/>
    </row>
    <row r="687" ht="12.75">
      <c r="L687" s="365"/>
    </row>
    <row r="688" ht="12.75">
      <c r="L688" s="365"/>
    </row>
    <row r="689" ht="12.75">
      <c r="L689" s="365"/>
    </row>
    <row r="690" ht="12.75">
      <c r="L690" s="365"/>
    </row>
    <row r="691" ht="12.75">
      <c r="L691" s="365"/>
    </row>
    <row r="692" ht="12.75">
      <c r="L692" s="365"/>
    </row>
    <row r="693" ht="12.75">
      <c r="L693" s="365"/>
    </row>
    <row r="694" ht="12.75">
      <c r="L694" s="365"/>
    </row>
    <row r="695" ht="12.75">
      <c r="L695" s="365"/>
    </row>
    <row r="696" ht="12.75">
      <c r="L696" s="365"/>
    </row>
    <row r="697" ht="12.75">
      <c r="L697" s="365"/>
    </row>
    <row r="698" ht="12.75">
      <c r="L698" s="365"/>
    </row>
    <row r="699" ht="12.75">
      <c r="L699" s="365"/>
    </row>
    <row r="700" ht="12.75">
      <c r="L700" s="365"/>
    </row>
    <row r="701" ht="12.75">
      <c r="L701" s="365"/>
    </row>
    <row r="702" ht="12.75">
      <c r="L702" s="365"/>
    </row>
    <row r="703" ht="12.75">
      <c r="L703" s="365"/>
    </row>
    <row r="704" ht="12.75">
      <c r="L704" s="365"/>
    </row>
    <row r="705" ht="12.75">
      <c r="L705" s="365"/>
    </row>
    <row r="706" ht="12.75">
      <c r="L706" s="365"/>
    </row>
    <row r="707" ht="12.75">
      <c r="L707" s="365"/>
    </row>
    <row r="708" ht="12.75">
      <c r="L708" s="365"/>
    </row>
    <row r="709" ht="12.75">
      <c r="L709" s="365"/>
    </row>
    <row r="710" ht="12.75">
      <c r="L710" s="365"/>
    </row>
    <row r="711" ht="12.75">
      <c r="L711" s="365"/>
    </row>
    <row r="712" ht="12.75">
      <c r="L712" s="365"/>
    </row>
    <row r="713" ht="12.75">
      <c r="L713" s="365"/>
    </row>
    <row r="714" ht="12.75">
      <c r="L714" s="365"/>
    </row>
    <row r="715" ht="12.75">
      <c r="L715" s="365"/>
    </row>
    <row r="716" ht="12.75">
      <c r="L716" s="365"/>
    </row>
    <row r="717" ht="12.75">
      <c r="L717" s="365"/>
    </row>
    <row r="718" ht="12.75">
      <c r="L718" s="365"/>
    </row>
    <row r="719" ht="12.75">
      <c r="L719" s="365"/>
    </row>
    <row r="720" ht="12.75">
      <c r="L720" s="365"/>
    </row>
    <row r="721" ht="12.75">
      <c r="L721" s="365"/>
    </row>
    <row r="722" ht="12.75">
      <c r="L722" s="365"/>
    </row>
    <row r="723" ht="12.75">
      <c r="L723" s="365"/>
    </row>
    <row r="724" ht="12.75">
      <c r="L724" s="365"/>
    </row>
    <row r="725" ht="12.75">
      <c r="L725" s="365"/>
    </row>
    <row r="726" ht="12.75">
      <c r="L726" s="365"/>
    </row>
    <row r="727" ht="12.75">
      <c r="L727" s="365"/>
    </row>
    <row r="728" ht="12.75">
      <c r="L728" s="365"/>
    </row>
    <row r="729" ht="12.75">
      <c r="L729" s="365"/>
    </row>
    <row r="730" ht="12.75">
      <c r="L730" s="365"/>
    </row>
    <row r="731" ht="12.75">
      <c r="L731" s="365"/>
    </row>
    <row r="732" ht="12.75">
      <c r="L732" s="365"/>
    </row>
    <row r="733" ht="12.75">
      <c r="L733" s="365"/>
    </row>
    <row r="734" ht="12.75">
      <c r="L734" s="365"/>
    </row>
    <row r="735" ht="12.75">
      <c r="L735" s="365"/>
    </row>
    <row r="736" ht="12.75">
      <c r="L736" s="365"/>
    </row>
    <row r="737" ht="12.75">
      <c r="L737" s="365"/>
    </row>
    <row r="738" ht="12.75">
      <c r="L738" s="365"/>
    </row>
    <row r="739" ht="12.75">
      <c r="L739" s="365"/>
    </row>
    <row r="740" ht="12.75">
      <c r="L740" s="365"/>
    </row>
    <row r="741" ht="12.75">
      <c r="L741" s="365"/>
    </row>
    <row r="742" ht="12.75">
      <c r="L742" s="365"/>
    </row>
    <row r="743" ht="12.75">
      <c r="L743" s="365"/>
    </row>
    <row r="744" ht="12.75">
      <c r="L744" s="365"/>
    </row>
    <row r="745" ht="12.75">
      <c r="L745" s="365"/>
    </row>
    <row r="746" ht="12.75">
      <c r="L746" s="365"/>
    </row>
    <row r="747" ht="12.75">
      <c r="L747" s="365"/>
    </row>
    <row r="748" ht="12.75">
      <c r="L748" s="365"/>
    </row>
    <row r="749" ht="12.75">
      <c r="L749" s="365"/>
    </row>
    <row r="750" ht="12.75">
      <c r="L750" s="365"/>
    </row>
    <row r="751" ht="12.75">
      <c r="L751" s="365"/>
    </row>
    <row r="752" ht="12.75">
      <c r="L752" s="365"/>
    </row>
    <row r="753" ht="12.75">
      <c r="L753" s="365"/>
    </row>
    <row r="754" ht="12.75">
      <c r="L754" s="365"/>
    </row>
    <row r="755" ht="12.75">
      <c r="L755" s="365"/>
    </row>
    <row r="756" ht="12.75">
      <c r="L756" s="365"/>
    </row>
    <row r="757" ht="12.75">
      <c r="L757" s="365"/>
    </row>
    <row r="758" ht="12.75">
      <c r="L758" s="365"/>
    </row>
    <row r="759" ht="12.75">
      <c r="L759" s="365"/>
    </row>
    <row r="760" ht="12.75">
      <c r="L760" s="365"/>
    </row>
    <row r="761" ht="12.75">
      <c r="L761" s="365"/>
    </row>
    <row r="762" ht="12.75">
      <c r="L762" s="365"/>
    </row>
    <row r="763" ht="12.75">
      <c r="L763" s="365"/>
    </row>
    <row r="764" ht="12.75">
      <c r="L764" s="365"/>
    </row>
    <row r="765" ht="12.75">
      <c r="L765" s="365"/>
    </row>
    <row r="766" ht="12.75">
      <c r="L766" s="365"/>
    </row>
    <row r="767" ht="12.75">
      <c r="L767" s="365"/>
    </row>
    <row r="768" ht="12.75">
      <c r="L768" s="365"/>
    </row>
    <row r="769" ht="12.75">
      <c r="L769" s="365"/>
    </row>
    <row r="770" ht="12.75">
      <c r="L770" s="365"/>
    </row>
    <row r="771" ht="12.75">
      <c r="L771" s="365"/>
    </row>
    <row r="772" ht="12.75">
      <c r="L772" s="365"/>
    </row>
    <row r="773" ht="12.75">
      <c r="L773" s="365"/>
    </row>
    <row r="774" ht="12.75">
      <c r="L774" s="365"/>
    </row>
    <row r="775" ht="12.75">
      <c r="L775" s="365"/>
    </row>
    <row r="776" ht="12.75">
      <c r="L776" s="365"/>
    </row>
    <row r="777" ht="12.75">
      <c r="L777" s="365"/>
    </row>
    <row r="778" ht="12.75">
      <c r="L778" s="365"/>
    </row>
    <row r="779" ht="12.75">
      <c r="L779" s="365"/>
    </row>
    <row r="780" ht="12.75">
      <c r="L780" s="365"/>
    </row>
    <row r="781" ht="12.75">
      <c r="L781" s="365"/>
    </row>
    <row r="782" ht="12.75">
      <c r="L782" s="365"/>
    </row>
    <row r="783" ht="12.75">
      <c r="L783" s="365"/>
    </row>
    <row r="784" ht="12.75">
      <c r="L784" s="365"/>
    </row>
    <row r="785" ht="12.75">
      <c r="L785" s="365"/>
    </row>
    <row r="786" ht="12.75">
      <c r="L786" s="365"/>
    </row>
    <row r="787" ht="12.75">
      <c r="L787" s="365"/>
    </row>
    <row r="788" ht="12.75">
      <c r="L788" s="365"/>
    </row>
    <row r="789" ht="12.75">
      <c r="L789" s="365"/>
    </row>
    <row r="790" ht="12.75">
      <c r="L790" s="365"/>
    </row>
    <row r="791" ht="12.75">
      <c r="L791" s="365"/>
    </row>
    <row r="792" ht="12.75">
      <c r="L792" s="365"/>
    </row>
    <row r="793" ht="12.75">
      <c r="L793" s="365"/>
    </row>
    <row r="794" ht="12.75">
      <c r="L794" s="365"/>
    </row>
    <row r="795" ht="12.75">
      <c r="L795" s="365"/>
    </row>
    <row r="796" ht="12.75">
      <c r="L796" s="365"/>
    </row>
    <row r="797" ht="12.75">
      <c r="L797" s="365"/>
    </row>
    <row r="798" ht="12.75">
      <c r="L798" s="365"/>
    </row>
    <row r="799" ht="12.75">
      <c r="L799" s="365"/>
    </row>
    <row r="800" ht="12.75">
      <c r="L800" s="365"/>
    </row>
    <row r="801" ht="12.75">
      <c r="L801" s="365"/>
    </row>
    <row r="802" ht="12.75">
      <c r="L802" s="365"/>
    </row>
    <row r="803" ht="12.75">
      <c r="L803" s="365"/>
    </row>
    <row r="804" ht="12.75">
      <c r="L804" s="365"/>
    </row>
    <row r="805" ht="12.75">
      <c r="L805" s="365"/>
    </row>
    <row r="806" ht="12.75">
      <c r="L806" s="365"/>
    </row>
    <row r="807" ht="12.75">
      <c r="L807" s="365"/>
    </row>
    <row r="808" ht="12.75">
      <c r="L808" s="365"/>
    </row>
    <row r="809" ht="12.75">
      <c r="L809" s="365"/>
    </row>
    <row r="810" ht="12.75">
      <c r="L810" s="365"/>
    </row>
    <row r="811" ht="12.75">
      <c r="L811" s="365"/>
    </row>
    <row r="812" ht="12.75">
      <c r="L812" s="365"/>
    </row>
    <row r="813" ht="12.75">
      <c r="L813" s="365"/>
    </row>
    <row r="814" ht="12.75">
      <c r="L814" s="365"/>
    </row>
    <row r="815" ht="12.75">
      <c r="L815" s="365"/>
    </row>
    <row r="816" ht="12.75">
      <c r="L816" s="365"/>
    </row>
    <row r="817" ht="12.75">
      <c r="L817" s="365"/>
    </row>
    <row r="818" ht="12.75">
      <c r="L818" s="365"/>
    </row>
    <row r="819" ht="12.75">
      <c r="L819" s="365"/>
    </row>
    <row r="820" ht="12.75">
      <c r="L820" s="365"/>
    </row>
    <row r="821" ht="12.75">
      <c r="L821" s="365"/>
    </row>
    <row r="822" ht="12.75">
      <c r="L822" s="365"/>
    </row>
    <row r="823" ht="12.75">
      <c r="L823" s="365"/>
    </row>
    <row r="824" ht="12.75">
      <c r="L824" s="365"/>
    </row>
    <row r="825" ht="12.75">
      <c r="L825" s="365"/>
    </row>
    <row r="826" ht="12.75">
      <c r="L826" s="365"/>
    </row>
    <row r="827" ht="12.75">
      <c r="L827" s="365"/>
    </row>
    <row r="828" ht="12.75">
      <c r="L828" s="365"/>
    </row>
    <row r="829" ht="12.75">
      <c r="L829" s="365"/>
    </row>
    <row r="830" ht="12.75">
      <c r="L830" s="365"/>
    </row>
    <row r="831" ht="12.75">
      <c r="L831" s="365"/>
    </row>
    <row r="832" ht="12.75">
      <c r="L832" s="365"/>
    </row>
    <row r="833" ht="12.75">
      <c r="L833" s="365"/>
    </row>
    <row r="834" ht="12.75">
      <c r="L834" s="365"/>
    </row>
    <row r="835" ht="12.75">
      <c r="L835" s="365"/>
    </row>
    <row r="836" ht="12.75">
      <c r="L836" s="365"/>
    </row>
    <row r="837" ht="12.75">
      <c r="L837" s="365"/>
    </row>
    <row r="838" ht="12.75">
      <c r="L838" s="365"/>
    </row>
    <row r="839" ht="12.75">
      <c r="L839" s="365"/>
    </row>
    <row r="840" ht="12.75">
      <c r="L840" s="365"/>
    </row>
    <row r="841" ht="12.75">
      <c r="L841" s="365"/>
    </row>
    <row r="842" ht="12.75">
      <c r="L842" s="365"/>
    </row>
    <row r="843" ht="12.75">
      <c r="L843" s="365"/>
    </row>
    <row r="844" ht="12.75">
      <c r="L844" s="365"/>
    </row>
    <row r="845" ht="12.75">
      <c r="L845" s="365"/>
    </row>
    <row r="846" ht="12.75">
      <c r="L846" s="365"/>
    </row>
    <row r="847" ht="12.75">
      <c r="L847" s="365"/>
    </row>
    <row r="848" ht="12.75">
      <c r="L848" s="365"/>
    </row>
    <row r="849" ht="12.75">
      <c r="L849" s="365"/>
    </row>
    <row r="850" ht="12.75">
      <c r="L850" s="365"/>
    </row>
    <row r="851" ht="12.75">
      <c r="L851" s="365"/>
    </row>
    <row r="852" ht="12.75">
      <c r="L852" s="365"/>
    </row>
    <row r="853" ht="12.75">
      <c r="L853" s="365"/>
    </row>
    <row r="854" ht="12.75">
      <c r="L854" s="365"/>
    </row>
    <row r="855" ht="12.75">
      <c r="L855" s="365"/>
    </row>
    <row r="856" ht="12.75">
      <c r="L856" s="365"/>
    </row>
    <row r="857" ht="12.75">
      <c r="L857" s="365"/>
    </row>
    <row r="858" ht="12.75">
      <c r="L858" s="365"/>
    </row>
    <row r="859" ht="12.75">
      <c r="L859" s="365"/>
    </row>
    <row r="860" ht="12.75">
      <c r="L860" s="365"/>
    </row>
    <row r="861" ht="12.75">
      <c r="L861" s="365"/>
    </row>
    <row r="862" ht="12.75">
      <c r="L862" s="365"/>
    </row>
    <row r="863" ht="12.75">
      <c r="L863" s="365"/>
    </row>
    <row r="864" ht="12.75">
      <c r="L864" s="365"/>
    </row>
    <row r="865" ht="12.75">
      <c r="L865" s="365"/>
    </row>
    <row r="866" ht="12.75">
      <c r="L866" s="365"/>
    </row>
    <row r="867" ht="12.75">
      <c r="L867" s="365"/>
    </row>
    <row r="868" ht="12.75">
      <c r="L868" s="365"/>
    </row>
    <row r="869" ht="12.75">
      <c r="L869" s="365"/>
    </row>
    <row r="870" ht="12.75">
      <c r="L870" s="365"/>
    </row>
    <row r="871" ht="12.75">
      <c r="L871" s="365"/>
    </row>
    <row r="872" ht="12.75">
      <c r="L872" s="365"/>
    </row>
    <row r="873" ht="12.75">
      <c r="L873" s="365"/>
    </row>
    <row r="874" ht="12.75">
      <c r="L874" s="365"/>
    </row>
    <row r="875" ht="12.75">
      <c r="L875" s="365"/>
    </row>
    <row r="876" ht="12.75">
      <c r="L876" s="365"/>
    </row>
    <row r="877" ht="12.75">
      <c r="L877" s="365"/>
    </row>
    <row r="878" ht="12.75">
      <c r="L878" s="365"/>
    </row>
    <row r="879" ht="12.75">
      <c r="L879" s="365"/>
    </row>
    <row r="880" ht="12.75">
      <c r="L880" s="365"/>
    </row>
    <row r="881" ht="12.75">
      <c r="L881" s="365"/>
    </row>
    <row r="882" ht="12.75">
      <c r="L882" s="365"/>
    </row>
    <row r="883" ht="12.75">
      <c r="L883" s="365"/>
    </row>
    <row r="884" ht="12.75">
      <c r="L884" s="365"/>
    </row>
    <row r="885" ht="12.75">
      <c r="L885" s="365"/>
    </row>
    <row r="886" ht="12.75">
      <c r="L886" s="365"/>
    </row>
    <row r="887" ht="12.75">
      <c r="L887" s="365"/>
    </row>
    <row r="888" ht="12.75">
      <c r="L888" s="365"/>
    </row>
    <row r="889" ht="12.75">
      <c r="L889" s="365"/>
    </row>
    <row r="890" ht="12.75">
      <c r="L890" s="365"/>
    </row>
    <row r="891" ht="12.75">
      <c r="L891" s="365"/>
    </row>
    <row r="892" ht="12.75">
      <c r="L892" s="365"/>
    </row>
    <row r="893" ht="12.75">
      <c r="L893" s="365"/>
    </row>
    <row r="894" ht="12.75">
      <c r="L894" s="365"/>
    </row>
    <row r="895" ht="12.75">
      <c r="L895" s="365"/>
    </row>
    <row r="896" ht="12.75">
      <c r="L896" s="365"/>
    </row>
    <row r="897" ht="12.75">
      <c r="L897" s="365"/>
    </row>
    <row r="898" ht="12.75">
      <c r="L898" s="365"/>
    </row>
    <row r="899" ht="12.75">
      <c r="L899" s="365"/>
    </row>
    <row r="900" ht="12.75">
      <c r="L900" s="365"/>
    </row>
    <row r="901" ht="12.75">
      <c r="L901" s="365"/>
    </row>
    <row r="902" ht="12.75">
      <c r="L902" s="365"/>
    </row>
    <row r="903" ht="12.75">
      <c r="L903" s="365"/>
    </row>
    <row r="904" ht="12.75">
      <c r="L904" s="365"/>
    </row>
    <row r="905" ht="12.75">
      <c r="L905" s="365"/>
    </row>
    <row r="906" ht="12.75">
      <c r="L906" s="365"/>
    </row>
    <row r="907" ht="12.75">
      <c r="L907" s="365"/>
    </row>
    <row r="908" ht="12.75">
      <c r="L908" s="365"/>
    </row>
    <row r="909" ht="12.75">
      <c r="L909" s="365"/>
    </row>
    <row r="910" ht="12.75">
      <c r="L910" s="365"/>
    </row>
    <row r="911" ht="12.75">
      <c r="L911" s="365"/>
    </row>
    <row r="912" ht="12.75">
      <c r="L912" s="365"/>
    </row>
    <row r="913" ht="12.75">
      <c r="L913" s="365"/>
    </row>
    <row r="914" ht="12.75">
      <c r="L914" s="365"/>
    </row>
    <row r="915" ht="12.75">
      <c r="L915" s="365"/>
    </row>
    <row r="916" ht="12.75">
      <c r="L916" s="365"/>
    </row>
    <row r="917" ht="12.75">
      <c r="L917" s="365"/>
    </row>
    <row r="918" ht="12.75">
      <c r="L918" s="365"/>
    </row>
    <row r="919" ht="12.75">
      <c r="L919" s="365"/>
    </row>
    <row r="920" ht="12.75">
      <c r="L920" s="365"/>
    </row>
    <row r="921" ht="12.75">
      <c r="L921" s="365"/>
    </row>
    <row r="922" ht="12.75">
      <c r="L922" s="365"/>
    </row>
    <row r="923" ht="12.75">
      <c r="L923" s="365"/>
    </row>
    <row r="924" ht="12.75">
      <c r="L924" s="365"/>
    </row>
    <row r="925" ht="12.75">
      <c r="L925" s="365"/>
    </row>
    <row r="926" ht="12.75">
      <c r="L926" s="365"/>
    </row>
    <row r="927" ht="12.75">
      <c r="L927" s="365"/>
    </row>
    <row r="928" ht="12.75">
      <c r="L928" s="365"/>
    </row>
    <row r="929" ht="12.75">
      <c r="L929" s="365"/>
    </row>
    <row r="930" ht="12.75">
      <c r="L930" s="365"/>
    </row>
    <row r="931" ht="12.75">
      <c r="L931" s="365"/>
    </row>
    <row r="932" ht="12.75">
      <c r="L932" s="365"/>
    </row>
    <row r="933" ht="12.75">
      <c r="L933" s="365"/>
    </row>
    <row r="934" ht="12.75">
      <c r="L934" s="365"/>
    </row>
    <row r="935" ht="12.75">
      <c r="L935" s="365"/>
    </row>
    <row r="936" ht="12.75">
      <c r="L936" s="365"/>
    </row>
    <row r="937" ht="12.75">
      <c r="L937" s="365"/>
    </row>
    <row r="938" ht="12.75">
      <c r="L938" s="365"/>
    </row>
    <row r="939" ht="12.75">
      <c r="L939" s="365"/>
    </row>
    <row r="940" ht="12.75">
      <c r="L940" s="365"/>
    </row>
    <row r="941" ht="12.75">
      <c r="L941" s="365"/>
    </row>
    <row r="942" ht="12.75">
      <c r="L942" s="365"/>
    </row>
    <row r="943" ht="12.75">
      <c r="L943" s="365"/>
    </row>
    <row r="944" ht="12.75">
      <c r="L944" s="365"/>
    </row>
    <row r="945" ht="12.75">
      <c r="L945" s="365"/>
    </row>
    <row r="946" ht="12.75">
      <c r="L946" s="365"/>
    </row>
    <row r="947" ht="12.75">
      <c r="L947" s="365"/>
    </row>
    <row r="948" ht="12.75">
      <c r="L948" s="365"/>
    </row>
    <row r="949" ht="12.75">
      <c r="L949" s="365"/>
    </row>
    <row r="950" ht="12.75">
      <c r="L950" s="365"/>
    </row>
    <row r="951" ht="12.75">
      <c r="L951" s="365"/>
    </row>
    <row r="952" ht="12.75">
      <c r="L952" s="365"/>
    </row>
    <row r="953" ht="12.75">
      <c r="L953" s="365"/>
    </row>
    <row r="954" ht="12.75">
      <c r="L954" s="365"/>
    </row>
    <row r="955" ht="12.75">
      <c r="L955" s="365"/>
    </row>
    <row r="956" ht="12.75">
      <c r="L956" s="365"/>
    </row>
    <row r="957" ht="12.75">
      <c r="L957" s="365"/>
    </row>
    <row r="958" ht="12.75">
      <c r="L958" s="365"/>
    </row>
    <row r="959" ht="12.75">
      <c r="L959" s="365"/>
    </row>
    <row r="960" ht="12.75">
      <c r="L960" s="365"/>
    </row>
    <row r="961" ht="12.75">
      <c r="L961" s="365"/>
    </row>
    <row r="962" ht="12.75">
      <c r="L962" s="365"/>
    </row>
    <row r="963" ht="12.75">
      <c r="L963" s="365"/>
    </row>
    <row r="964" ht="12.75">
      <c r="L964" s="365"/>
    </row>
    <row r="965" ht="12.75">
      <c r="L965" s="365"/>
    </row>
    <row r="966" ht="12.75">
      <c r="L966" s="365"/>
    </row>
    <row r="967" ht="12.75">
      <c r="L967" s="365"/>
    </row>
    <row r="968" ht="12.75">
      <c r="L968" s="365"/>
    </row>
    <row r="969" ht="12.75">
      <c r="L969" s="365"/>
    </row>
    <row r="970" ht="12.75">
      <c r="L970" s="365"/>
    </row>
    <row r="971" ht="12.75">
      <c r="L971" s="365"/>
    </row>
    <row r="972" ht="12.75">
      <c r="L972" s="365"/>
    </row>
    <row r="973" ht="12.75">
      <c r="L973" s="365"/>
    </row>
    <row r="974" ht="12.75">
      <c r="L974" s="365"/>
    </row>
    <row r="975" ht="12.75">
      <c r="L975" s="365"/>
    </row>
    <row r="976" ht="12.75">
      <c r="L976" s="365"/>
    </row>
    <row r="977" ht="12.75">
      <c r="L977" s="365"/>
    </row>
    <row r="978" ht="12.75">
      <c r="L978" s="365"/>
    </row>
    <row r="979" ht="12.75">
      <c r="L979" s="365"/>
    </row>
    <row r="980" ht="12.75">
      <c r="L980" s="365"/>
    </row>
    <row r="981" ht="12.75">
      <c r="L981" s="365"/>
    </row>
    <row r="982" ht="12.75">
      <c r="L982" s="365"/>
    </row>
    <row r="983" ht="12.75">
      <c r="L983" s="365"/>
    </row>
    <row r="984" ht="12.75">
      <c r="L984" s="365"/>
    </row>
    <row r="985" ht="12.75">
      <c r="L985" s="365"/>
    </row>
    <row r="986" ht="12.75">
      <c r="L986" s="365"/>
    </row>
    <row r="987" ht="12.75">
      <c r="L987" s="365"/>
    </row>
    <row r="988" ht="12.75">
      <c r="L988" s="365"/>
    </row>
    <row r="989" ht="12.75">
      <c r="L989" s="365"/>
    </row>
    <row r="990" ht="12.75">
      <c r="L990" s="365"/>
    </row>
    <row r="991" ht="12.75">
      <c r="L991" s="365"/>
    </row>
    <row r="992" ht="12.75">
      <c r="L992" s="365"/>
    </row>
    <row r="993" ht="12.75">
      <c r="L993" s="365"/>
    </row>
    <row r="994" ht="12.75">
      <c r="L994" s="365"/>
    </row>
    <row r="995" ht="12.75">
      <c r="L995" s="365"/>
    </row>
    <row r="996" ht="12.75">
      <c r="L996" s="365"/>
    </row>
    <row r="997" ht="12.75">
      <c r="L997" s="365"/>
    </row>
    <row r="998" ht="12.75">
      <c r="L998" s="365"/>
    </row>
    <row r="999" ht="12.75">
      <c r="L999" s="365"/>
    </row>
    <row r="1000" ht="12.75">
      <c r="L1000" s="365"/>
    </row>
    <row r="1001" ht="12.75">
      <c r="L1001" s="365"/>
    </row>
    <row r="1002" ht="12.75">
      <c r="L1002" s="365"/>
    </row>
    <row r="1003" ht="12.75">
      <c r="L1003" s="365"/>
    </row>
    <row r="1004" ht="12.75">
      <c r="L1004" s="365"/>
    </row>
    <row r="1005" ht="12.75">
      <c r="L1005" s="365"/>
    </row>
    <row r="1006" ht="12.75">
      <c r="L1006" s="365"/>
    </row>
    <row r="1007" ht="12.75">
      <c r="L1007" s="365"/>
    </row>
    <row r="1008" ht="12.75">
      <c r="L1008" s="365"/>
    </row>
    <row r="1009" ht="12.75">
      <c r="L1009" s="365"/>
    </row>
    <row r="1010" ht="12.75">
      <c r="L1010" s="365"/>
    </row>
    <row r="1011" ht="12.75">
      <c r="L1011" s="365"/>
    </row>
    <row r="1012" ht="12.75">
      <c r="L1012" s="365"/>
    </row>
    <row r="1013" ht="12.75">
      <c r="L1013" s="365"/>
    </row>
    <row r="1014" ht="12.75">
      <c r="L1014" s="365"/>
    </row>
    <row r="1015" ht="12.75">
      <c r="L1015" s="365"/>
    </row>
    <row r="1016" ht="12.75">
      <c r="L1016" s="365"/>
    </row>
    <row r="1017" ht="12.75">
      <c r="L1017" s="365"/>
    </row>
    <row r="1018" ht="12.75">
      <c r="L1018" s="365"/>
    </row>
    <row r="1019" ht="12.75">
      <c r="L1019" s="365"/>
    </row>
    <row r="1020" ht="12.75">
      <c r="L1020" s="365"/>
    </row>
    <row r="1021" ht="12.75">
      <c r="L1021" s="365"/>
    </row>
    <row r="1022" ht="12.75">
      <c r="L1022" s="365"/>
    </row>
    <row r="1023" ht="12.75">
      <c r="L1023" s="365"/>
    </row>
    <row r="1024" ht="12.75">
      <c r="L1024" s="365"/>
    </row>
    <row r="1025" ht="12.75">
      <c r="L1025" s="365"/>
    </row>
    <row r="1026" ht="12.75">
      <c r="L1026" s="365"/>
    </row>
    <row r="1027" ht="12.75">
      <c r="L1027" s="365"/>
    </row>
    <row r="1028" ht="12.75">
      <c r="L1028" s="365"/>
    </row>
    <row r="1029" ht="12.75">
      <c r="L1029" s="365"/>
    </row>
    <row r="1030" ht="12.75">
      <c r="L1030" s="365"/>
    </row>
    <row r="1031" ht="12.75">
      <c r="L1031" s="365"/>
    </row>
    <row r="1032" ht="12.75">
      <c r="L1032" s="365"/>
    </row>
    <row r="1033" ht="12.75">
      <c r="L1033" s="365"/>
    </row>
    <row r="1034" ht="12.75">
      <c r="L1034" s="365"/>
    </row>
    <row r="1035" ht="12.75">
      <c r="L1035" s="365"/>
    </row>
    <row r="1036" ht="12.75">
      <c r="L1036" s="365"/>
    </row>
    <row r="1037" ht="12.75">
      <c r="L1037" s="365"/>
    </row>
    <row r="1038" ht="12.75">
      <c r="L1038" s="365"/>
    </row>
    <row r="1039" ht="12.75">
      <c r="L1039" s="365"/>
    </row>
    <row r="1040" ht="12.75">
      <c r="L1040" s="365"/>
    </row>
    <row r="1041" ht="12.75">
      <c r="L1041" s="365"/>
    </row>
    <row r="1042" ht="12.75">
      <c r="L1042" s="365"/>
    </row>
    <row r="1043" ht="12.75">
      <c r="L1043" s="365"/>
    </row>
    <row r="1044" ht="12.75">
      <c r="L1044" s="365"/>
    </row>
    <row r="1045" ht="12.75">
      <c r="L1045" s="365"/>
    </row>
    <row r="1046" ht="12.75">
      <c r="L1046" s="365"/>
    </row>
    <row r="1047" ht="12.75">
      <c r="L1047" s="365"/>
    </row>
    <row r="1048" ht="12.75">
      <c r="L1048" s="365"/>
    </row>
    <row r="1049" ht="12.75">
      <c r="L1049" s="365"/>
    </row>
    <row r="1050" ht="12.75">
      <c r="L1050" s="365"/>
    </row>
    <row r="1051" ht="12.75">
      <c r="L1051" s="365"/>
    </row>
    <row r="1052" ht="12.75">
      <c r="L1052" s="365"/>
    </row>
    <row r="1053" ht="12.75">
      <c r="L1053" s="365"/>
    </row>
    <row r="1054" ht="12.75">
      <c r="L1054" s="365"/>
    </row>
    <row r="1055" ht="12.75">
      <c r="L1055" s="365"/>
    </row>
    <row r="1056" ht="12.75">
      <c r="L1056" s="365"/>
    </row>
    <row r="1057" ht="12.75">
      <c r="L1057" s="365"/>
    </row>
    <row r="1058" ht="12.75">
      <c r="L1058" s="365"/>
    </row>
    <row r="1059" ht="12.75">
      <c r="L1059" s="365"/>
    </row>
    <row r="1060" ht="12.75">
      <c r="L1060" s="365"/>
    </row>
    <row r="1061" ht="12.75">
      <c r="L1061" s="365"/>
    </row>
    <row r="1062" ht="12.75">
      <c r="L1062" s="365"/>
    </row>
    <row r="1063" ht="12.75">
      <c r="L1063" s="365"/>
    </row>
    <row r="1064" ht="12.75">
      <c r="L1064" s="365"/>
    </row>
    <row r="1065" ht="12.75">
      <c r="L1065" s="365"/>
    </row>
    <row r="1066" ht="12.75">
      <c r="L1066" s="365"/>
    </row>
    <row r="1067" ht="12.75">
      <c r="L1067" s="365"/>
    </row>
    <row r="1068" ht="12.75">
      <c r="L1068" s="365"/>
    </row>
    <row r="1069" ht="12.75">
      <c r="L1069" s="365"/>
    </row>
    <row r="1070" ht="12.75">
      <c r="L1070" s="365"/>
    </row>
    <row r="1071" ht="12.75">
      <c r="L1071" s="365"/>
    </row>
    <row r="1072" ht="12.75">
      <c r="L1072" s="365"/>
    </row>
    <row r="1073" ht="12.75">
      <c r="L1073" s="365"/>
    </row>
    <row r="1074" ht="12.75">
      <c r="L1074" s="365"/>
    </row>
    <row r="1075" ht="12.75">
      <c r="L1075" s="365"/>
    </row>
    <row r="1076" ht="12.75">
      <c r="L1076" s="365"/>
    </row>
    <row r="1077" ht="12.75">
      <c r="L1077" s="365"/>
    </row>
    <row r="1078" ht="12.75">
      <c r="L1078" s="365"/>
    </row>
    <row r="1079" ht="12.75">
      <c r="L1079" s="365"/>
    </row>
    <row r="1080" ht="12.75">
      <c r="L1080" s="365"/>
    </row>
    <row r="1081" ht="12.75">
      <c r="L1081" s="365"/>
    </row>
    <row r="1082" ht="12.75">
      <c r="L1082" s="365"/>
    </row>
    <row r="1083" ht="12.75">
      <c r="L1083" s="365"/>
    </row>
    <row r="1084" ht="12.75">
      <c r="L1084" s="365"/>
    </row>
    <row r="1085" ht="12.75">
      <c r="L1085" s="365"/>
    </row>
    <row r="1086" ht="12.75">
      <c r="L1086" s="365"/>
    </row>
    <row r="1087" ht="12.75">
      <c r="L1087" s="365"/>
    </row>
    <row r="1088" ht="12.75">
      <c r="L1088" s="365"/>
    </row>
    <row r="1089" ht="12.75">
      <c r="L1089" s="365"/>
    </row>
    <row r="1090" ht="12.75">
      <c r="L1090" s="365"/>
    </row>
    <row r="1091" ht="12.75">
      <c r="L1091" s="365"/>
    </row>
    <row r="1092" ht="12.75">
      <c r="L1092" s="365"/>
    </row>
    <row r="1093" ht="12.75">
      <c r="L1093" s="365"/>
    </row>
    <row r="1094" ht="12.75">
      <c r="L1094" s="365"/>
    </row>
    <row r="1095" ht="12.75">
      <c r="L1095" s="365"/>
    </row>
    <row r="1096" ht="12.75">
      <c r="L1096" s="365"/>
    </row>
    <row r="1097" ht="12.75">
      <c r="L1097" s="365"/>
    </row>
    <row r="1098" ht="12.75">
      <c r="L1098" s="365"/>
    </row>
    <row r="1099" ht="12.75">
      <c r="L1099" s="365"/>
    </row>
    <row r="1100" ht="12.75">
      <c r="L1100" s="365"/>
    </row>
    <row r="1101" ht="12.75">
      <c r="L1101" s="365"/>
    </row>
    <row r="1102" ht="12.75">
      <c r="L1102" s="365"/>
    </row>
    <row r="1103" ht="12.75">
      <c r="L1103" s="365"/>
    </row>
    <row r="1104" ht="12.75">
      <c r="L1104" s="365"/>
    </row>
    <row r="1105" ht="12.75">
      <c r="L1105" s="365"/>
    </row>
    <row r="1106" ht="12.75">
      <c r="L1106" s="365"/>
    </row>
    <row r="1107" ht="12.75">
      <c r="L1107" s="365"/>
    </row>
    <row r="1108" ht="12.75">
      <c r="L1108" s="365"/>
    </row>
    <row r="1109" ht="12.75">
      <c r="L1109" s="365"/>
    </row>
    <row r="1110" ht="12.75">
      <c r="L1110" s="365"/>
    </row>
    <row r="1111" ht="12.75">
      <c r="L1111" s="365"/>
    </row>
    <row r="1112" ht="12.75">
      <c r="L1112" s="365"/>
    </row>
    <row r="1113" ht="12.75">
      <c r="L1113" s="365"/>
    </row>
    <row r="1114" ht="12.75">
      <c r="L1114" s="365"/>
    </row>
    <row r="1115" ht="12.75">
      <c r="L1115" s="365"/>
    </row>
    <row r="1116" ht="12.75">
      <c r="L1116" s="365"/>
    </row>
    <row r="1117" ht="12.75">
      <c r="L1117" s="365"/>
    </row>
    <row r="1118" ht="12.75">
      <c r="L1118" s="365"/>
    </row>
    <row r="1119" ht="12.75">
      <c r="L1119" s="365"/>
    </row>
    <row r="1120" ht="12.75">
      <c r="L1120" s="365"/>
    </row>
    <row r="1121" ht="12.75">
      <c r="L1121" s="365"/>
    </row>
    <row r="1122" ht="12.75">
      <c r="L1122" s="365"/>
    </row>
    <row r="1123" ht="12.75">
      <c r="L1123" s="365"/>
    </row>
    <row r="1124" ht="12.75">
      <c r="L1124" s="365"/>
    </row>
    <row r="1125" ht="12.75">
      <c r="L1125" s="365"/>
    </row>
    <row r="1126" ht="12.75">
      <c r="L1126" s="365"/>
    </row>
    <row r="1127" ht="12.75">
      <c r="L1127" s="365"/>
    </row>
    <row r="1128" ht="12.75">
      <c r="L1128" s="365"/>
    </row>
    <row r="1129" ht="12.75">
      <c r="L1129" s="365"/>
    </row>
    <row r="1130" ht="12.75">
      <c r="L1130" s="365"/>
    </row>
    <row r="1131" ht="12.75">
      <c r="L1131" s="365"/>
    </row>
    <row r="1132" ht="12.75">
      <c r="L1132" s="365"/>
    </row>
    <row r="1133" ht="12.75">
      <c r="L1133" s="365"/>
    </row>
    <row r="1134" ht="12.75">
      <c r="L1134" s="365"/>
    </row>
    <row r="1135" ht="12.75">
      <c r="L1135" s="365"/>
    </row>
    <row r="1136" ht="12.75">
      <c r="L1136" s="365"/>
    </row>
    <row r="1137" ht="12.75">
      <c r="L1137" s="365"/>
    </row>
    <row r="1138" ht="12.75">
      <c r="L1138" s="365"/>
    </row>
    <row r="1139" ht="12.75">
      <c r="L1139" s="365"/>
    </row>
    <row r="1140" ht="12.75">
      <c r="L1140" s="365"/>
    </row>
    <row r="1141" ht="12.75">
      <c r="L1141" s="365"/>
    </row>
    <row r="1142" ht="12.75">
      <c r="L1142" s="365"/>
    </row>
    <row r="1143" ht="12.75">
      <c r="L1143" s="365"/>
    </row>
    <row r="1144" ht="12.75">
      <c r="L1144" s="365"/>
    </row>
    <row r="1145" ht="12.75">
      <c r="L1145" s="365"/>
    </row>
    <row r="1146" ht="12.75">
      <c r="L1146" s="365"/>
    </row>
    <row r="1147" ht="12.75">
      <c r="L1147" s="365"/>
    </row>
    <row r="1148" ht="12.75">
      <c r="L1148" s="365"/>
    </row>
    <row r="1149" ht="12.75">
      <c r="L1149" s="365"/>
    </row>
    <row r="1150" ht="12.75">
      <c r="L1150" s="365"/>
    </row>
    <row r="1151" ht="12.75">
      <c r="L1151" s="365"/>
    </row>
    <row r="1152" ht="12.75">
      <c r="L1152" s="365"/>
    </row>
    <row r="1153" ht="12.75">
      <c r="L1153" s="365"/>
    </row>
    <row r="1154" ht="12.75">
      <c r="L1154" s="365"/>
    </row>
    <row r="1155" ht="12.75">
      <c r="L1155" s="365"/>
    </row>
    <row r="1156" ht="12.75">
      <c r="L1156" s="365"/>
    </row>
    <row r="1157" ht="12.75">
      <c r="L1157" s="365"/>
    </row>
    <row r="1158" ht="12.75">
      <c r="L1158" s="365"/>
    </row>
    <row r="1159" ht="12.75">
      <c r="L1159" s="365"/>
    </row>
    <row r="1160" ht="12.75">
      <c r="L1160" s="365"/>
    </row>
    <row r="1161" ht="12.75">
      <c r="L1161" s="365"/>
    </row>
    <row r="1162" ht="12.75">
      <c r="L1162" s="365"/>
    </row>
    <row r="1163" ht="12.75">
      <c r="L1163" s="365"/>
    </row>
    <row r="1164" ht="12.75">
      <c r="L1164" s="365"/>
    </row>
    <row r="1165" ht="12.75">
      <c r="L1165" s="365"/>
    </row>
    <row r="1166" ht="12.75">
      <c r="L1166" s="365"/>
    </row>
    <row r="1167" ht="12.75">
      <c r="L1167" s="365"/>
    </row>
    <row r="1168" ht="12.75">
      <c r="L1168" s="365"/>
    </row>
    <row r="1169" ht="12.75">
      <c r="L1169" s="365"/>
    </row>
    <row r="1170" ht="12.75">
      <c r="L1170" s="365"/>
    </row>
    <row r="1171" ht="12.75">
      <c r="L1171" s="365"/>
    </row>
    <row r="1172" ht="12.75">
      <c r="L1172" s="365"/>
    </row>
    <row r="1173" ht="12.75">
      <c r="L1173" s="365"/>
    </row>
    <row r="1174" ht="12.75">
      <c r="L1174" s="365"/>
    </row>
    <row r="1175" ht="12.75">
      <c r="L1175" s="365"/>
    </row>
    <row r="1176" ht="12.75">
      <c r="L1176" s="365"/>
    </row>
    <row r="1177" ht="12.75">
      <c r="L1177" s="365"/>
    </row>
    <row r="1178" ht="12.75">
      <c r="L1178" s="365"/>
    </row>
    <row r="1179" ht="12.75">
      <c r="L1179" s="365"/>
    </row>
    <row r="1180" ht="12.75">
      <c r="L1180" s="365"/>
    </row>
    <row r="1181" ht="12.75">
      <c r="L1181" s="365"/>
    </row>
    <row r="1182" ht="12.75">
      <c r="L1182" s="365"/>
    </row>
    <row r="1183" ht="12.75">
      <c r="L1183" s="365"/>
    </row>
    <row r="1184" ht="12.75">
      <c r="L1184" s="365"/>
    </row>
    <row r="1185" ht="12.75">
      <c r="L1185" s="365"/>
    </row>
    <row r="1186" ht="12.75">
      <c r="L1186" s="365"/>
    </row>
    <row r="1187" ht="12.75">
      <c r="L1187" s="365"/>
    </row>
    <row r="1188" ht="12.75">
      <c r="L1188" s="365"/>
    </row>
    <row r="1189" ht="12.75">
      <c r="L1189" s="365"/>
    </row>
    <row r="1190" ht="12.75">
      <c r="L1190" s="365"/>
    </row>
    <row r="1191" ht="12.75">
      <c r="L1191" s="365"/>
    </row>
    <row r="1192" ht="12.75">
      <c r="L1192" s="365"/>
    </row>
    <row r="1193" ht="12.75">
      <c r="L1193" s="365"/>
    </row>
    <row r="1194" ht="12.75">
      <c r="L1194" s="365"/>
    </row>
    <row r="1195" ht="12.75">
      <c r="L1195" s="365"/>
    </row>
    <row r="1196" ht="12.75">
      <c r="L1196" s="365"/>
    </row>
    <row r="1197" ht="12.75">
      <c r="L1197" s="365"/>
    </row>
    <row r="1198" ht="12.75">
      <c r="L1198" s="365"/>
    </row>
    <row r="1199" ht="12.75">
      <c r="L1199" s="365"/>
    </row>
    <row r="1200" ht="12.75">
      <c r="L1200" s="365"/>
    </row>
    <row r="1201" ht="12.75">
      <c r="L1201" s="365"/>
    </row>
    <row r="1202" ht="12.75">
      <c r="L1202" s="365"/>
    </row>
    <row r="1203" ht="12.75">
      <c r="L1203" s="365"/>
    </row>
    <row r="1204" ht="12.75">
      <c r="L1204" s="365"/>
    </row>
    <row r="1205" ht="12.75">
      <c r="L1205" s="365"/>
    </row>
    <row r="1206" ht="12.75">
      <c r="L1206" s="365"/>
    </row>
    <row r="1207" ht="12.75">
      <c r="L1207" s="365"/>
    </row>
    <row r="1208" ht="12.75">
      <c r="L1208" s="365"/>
    </row>
    <row r="1209" ht="12.75">
      <c r="L1209" s="365"/>
    </row>
    <row r="1210" ht="12.75">
      <c r="L1210" s="365"/>
    </row>
    <row r="1211" ht="12.75">
      <c r="L1211" s="365"/>
    </row>
    <row r="1212" ht="12.75">
      <c r="L1212" s="365"/>
    </row>
    <row r="1213" ht="12.75">
      <c r="L1213" s="365"/>
    </row>
    <row r="1214" ht="12.75">
      <c r="L1214" s="365"/>
    </row>
    <row r="1215" ht="12.75">
      <c r="L1215" s="365"/>
    </row>
    <row r="1216" ht="12.75">
      <c r="L1216" s="365"/>
    </row>
    <row r="1217" ht="12.75">
      <c r="L1217" s="365"/>
    </row>
    <row r="1218" ht="12.75">
      <c r="L1218" s="365"/>
    </row>
    <row r="1219" ht="12.75">
      <c r="L1219" s="365"/>
    </row>
    <row r="1220" ht="12.75">
      <c r="L1220" s="365"/>
    </row>
    <row r="1221" ht="12.75">
      <c r="L1221" s="365"/>
    </row>
    <row r="1222" ht="12.75">
      <c r="L1222" s="365"/>
    </row>
    <row r="1223" ht="12.75">
      <c r="L1223" s="365"/>
    </row>
    <row r="1224" ht="12.75">
      <c r="L1224" s="365"/>
    </row>
    <row r="1225" ht="12.75">
      <c r="L1225" s="365"/>
    </row>
    <row r="1226" ht="12.75">
      <c r="L1226" s="365"/>
    </row>
    <row r="1227" ht="12.75">
      <c r="L1227" s="365"/>
    </row>
    <row r="1228" ht="12.75">
      <c r="L1228" s="365"/>
    </row>
    <row r="1229" ht="12.75">
      <c r="L1229" s="365"/>
    </row>
    <row r="1230" ht="12.75">
      <c r="L1230" s="365"/>
    </row>
    <row r="1231" ht="12.75">
      <c r="L1231" s="365"/>
    </row>
    <row r="1232" ht="12.75">
      <c r="L1232" s="365"/>
    </row>
    <row r="1233" ht="12.75">
      <c r="L1233" s="365"/>
    </row>
    <row r="1234" ht="12.75">
      <c r="L1234" s="365"/>
    </row>
    <row r="1235" ht="12.75">
      <c r="L1235" s="365"/>
    </row>
    <row r="1236" ht="12.75">
      <c r="L1236" s="365"/>
    </row>
    <row r="1237" ht="12.75">
      <c r="L1237" s="365"/>
    </row>
    <row r="1238" ht="12.75">
      <c r="L1238" s="365"/>
    </row>
    <row r="1239" ht="12.75">
      <c r="L1239" s="365"/>
    </row>
    <row r="1240" ht="12.75">
      <c r="L1240" s="365"/>
    </row>
    <row r="1241" ht="12.75">
      <c r="L1241" s="365"/>
    </row>
    <row r="1242" ht="12.75">
      <c r="L1242" s="365"/>
    </row>
    <row r="1243" ht="12.75">
      <c r="L1243" s="365"/>
    </row>
    <row r="1244" ht="12.75">
      <c r="L1244" s="365"/>
    </row>
    <row r="1245" ht="12.75">
      <c r="L1245" s="365"/>
    </row>
    <row r="1246" ht="12.75">
      <c r="L1246" s="365"/>
    </row>
    <row r="1247" ht="12.75">
      <c r="L1247" s="365"/>
    </row>
    <row r="1248" ht="12.75">
      <c r="L1248" s="365"/>
    </row>
    <row r="1249" ht="12.75">
      <c r="L1249" s="365"/>
    </row>
    <row r="1250" ht="12.75">
      <c r="L1250" s="365"/>
    </row>
    <row r="1251" ht="12.75">
      <c r="L1251" s="365"/>
    </row>
    <row r="1252" ht="12.75">
      <c r="L1252" s="365"/>
    </row>
    <row r="1253" ht="12.75">
      <c r="L1253" s="365"/>
    </row>
    <row r="1254" ht="12.75">
      <c r="L1254" s="365"/>
    </row>
    <row r="1255" ht="12.75">
      <c r="L1255" s="365"/>
    </row>
    <row r="1256" ht="12.75">
      <c r="L1256" s="365"/>
    </row>
    <row r="1257" ht="12.75">
      <c r="L1257" s="365"/>
    </row>
    <row r="1258" ht="12.75">
      <c r="L1258" s="365"/>
    </row>
    <row r="1259" ht="12.75">
      <c r="L1259" s="365"/>
    </row>
    <row r="1260" ht="12.75">
      <c r="L1260" s="365"/>
    </row>
    <row r="1261" ht="12.75">
      <c r="L1261" s="365"/>
    </row>
    <row r="1262" ht="12.75">
      <c r="L1262" s="365"/>
    </row>
    <row r="1263" ht="12.75">
      <c r="L1263" s="365"/>
    </row>
    <row r="1264" ht="12.75">
      <c r="L1264" s="365"/>
    </row>
    <row r="1265" ht="12.75">
      <c r="L1265" s="365"/>
    </row>
    <row r="1266" ht="12.75">
      <c r="L1266" s="365"/>
    </row>
    <row r="1267" ht="12.75">
      <c r="L1267" s="365"/>
    </row>
    <row r="1268" ht="12.75">
      <c r="L1268" s="365"/>
    </row>
    <row r="1269" ht="12.75">
      <c r="L1269" s="365"/>
    </row>
    <row r="1270" ht="12.75">
      <c r="L1270" s="365"/>
    </row>
    <row r="1271" ht="12.75">
      <c r="L1271" s="365"/>
    </row>
    <row r="1272" ht="12.75">
      <c r="L1272" s="365"/>
    </row>
    <row r="1273" ht="12.75">
      <c r="L1273" s="365"/>
    </row>
    <row r="1274" ht="12.75">
      <c r="L1274" s="365"/>
    </row>
    <row r="1275" ht="12.75">
      <c r="L1275" s="365"/>
    </row>
    <row r="1276" ht="12.75">
      <c r="L1276" s="365"/>
    </row>
    <row r="1277" ht="12.75">
      <c r="L1277" s="365"/>
    </row>
    <row r="1278" ht="12.75">
      <c r="L1278" s="365"/>
    </row>
    <row r="1279" ht="12.75">
      <c r="L1279" s="365"/>
    </row>
    <row r="1280" ht="12.75">
      <c r="L1280" s="365"/>
    </row>
    <row r="1281" ht="12.75">
      <c r="L1281" s="365"/>
    </row>
    <row r="1282" ht="12.75">
      <c r="L1282" s="365"/>
    </row>
    <row r="1283" ht="12.75">
      <c r="L1283" s="365"/>
    </row>
    <row r="1284" ht="12.75">
      <c r="L1284" s="365"/>
    </row>
    <row r="1285" ht="12.75">
      <c r="L1285" s="365"/>
    </row>
    <row r="1286" ht="12.75">
      <c r="L1286" s="365"/>
    </row>
    <row r="1287" ht="12.75">
      <c r="L1287" s="365"/>
    </row>
    <row r="1288" ht="12.75">
      <c r="L1288" s="365"/>
    </row>
    <row r="1289" ht="12.75">
      <c r="L1289" s="365"/>
    </row>
    <row r="1290" ht="12.75">
      <c r="L1290" s="365"/>
    </row>
    <row r="1291" ht="12.75">
      <c r="L1291" s="365"/>
    </row>
    <row r="1292" ht="12.75">
      <c r="L1292" s="365"/>
    </row>
    <row r="1293" ht="12.75">
      <c r="L1293" s="365"/>
    </row>
    <row r="1294" ht="12.75">
      <c r="L1294" s="365"/>
    </row>
    <row r="1295" ht="12.75">
      <c r="L1295" s="365"/>
    </row>
    <row r="1296" ht="12.75">
      <c r="L1296" s="365"/>
    </row>
    <row r="1297" ht="12.75">
      <c r="L1297" s="365"/>
    </row>
    <row r="1298" ht="12.75">
      <c r="L1298" s="365"/>
    </row>
    <row r="1299" ht="12.75">
      <c r="L1299" s="365"/>
    </row>
    <row r="1300" ht="12.75">
      <c r="L1300" s="365"/>
    </row>
    <row r="1301" ht="12.75">
      <c r="L1301" s="365"/>
    </row>
    <row r="1302" ht="12.75">
      <c r="L1302" s="365"/>
    </row>
    <row r="1303" ht="12.75">
      <c r="L1303" s="365"/>
    </row>
    <row r="1304" ht="12.75">
      <c r="L1304" s="365"/>
    </row>
    <row r="1305" ht="12.75">
      <c r="L1305" s="365"/>
    </row>
    <row r="1306" ht="12.75">
      <c r="L1306" s="365"/>
    </row>
    <row r="1307" ht="12.75">
      <c r="L1307" s="365"/>
    </row>
    <row r="1308" ht="12.75">
      <c r="L1308" s="365"/>
    </row>
    <row r="1309" ht="12.75">
      <c r="L1309" s="365"/>
    </row>
    <row r="1310" ht="12.75">
      <c r="L1310" s="365"/>
    </row>
    <row r="1311" ht="12.75">
      <c r="L1311" s="365"/>
    </row>
    <row r="1312" ht="12.75">
      <c r="L1312" s="365"/>
    </row>
    <row r="1313" ht="12.75">
      <c r="L1313" s="365"/>
    </row>
    <row r="1314" ht="12.75">
      <c r="L1314" s="365"/>
    </row>
    <row r="1315" ht="12.75">
      <c r="L1315" s="365"/>
    </row>
    <row r="1316" ht="12.75">
      <c r="L1316" s="365"/>
    </row>
    <row r="1317" ht="12.75">
      <c r="L1317" s="365"/>
    </row>
    <row r="1318" ht="12.75">
      <c r="L1318" s="365"/>
    </row>
    <row r="1319" ht="12.75">
      <c r="L1319" s="365"/>
    </row>
    <row r="1320" ht="12.75">
      <c r="L1320" s="365"/>
    </row>
    <row r="1321" ht="12.75">
      <c r="L1321" s="365"/>
    </row>
    <row r="1322" ht="12.75">
      <c r="L1322" s="365"/>
    </row>
    <row r="1323" ht="12.75">
      <c r="L1323" s="365"/>
    </row>
    <row r="1324" ht="12.75">
      <c r="L1324" s="365"/>
    </row>
    <row r="1325" ht="12.75">
      <c r="L1325" s="365"/>
    </row>
    <row r="1326" ht="12.75">
      <c r="L1326" s="365"/>
    </row>
    <row r="1327" ht="12.75">
      <c r="L1327" s="365"/>
    </row>
    <row r="1328" ht="12.75">
      <c r="L1328" s="365"/>
    </row>
    <row r="1329" ht="12.75">
      <c r="L1329" s="365"/>
    </row>
    <row r="1330" ht="12.75">
      <c r="L1330" s="365"/>
    </row>
    <row r="1331" ht="12.75">
      <c r="L1331" s="365"/>
    </row>
    <row r="1332" ht="12.75">
      <c r="L1332" s="365"/>
    </row>
    <row r="1333" ht="12.75">
      <c r="L1333" s="365"/>
    </row>
    <row r="1334" ht="12.75">
      <c r="L1334" s="365"/>
    </row>
    <row r="1335" ht="12.75">
      <c r="L1335" s="365"/>
    </row>
    <row r="1336" ht="12.75">
      <c r="L1336" s="365"/>
    </row>
    <row r="1337" ht="12.75">
      <c r="L1337" s="365"/>
    </row>
    <row r="1338" ht="12.75">
      <c r="L1338" s="365"/>
    </row>
    <row r="1339" ht="12.75">
      <c r="L1339" s="365"/>
    </row>
    <row r="1340" ht="12.75">
      <c r="L1340" s="365"/>
    </row>
    <row r="1341" ht="12.75">
      <c r="L1341" s="365"/>
    </row>
    <row r="1342" ht="12.75">
      <c r="L1342" s="365"/>
    </row>
    <row r="1343" ht="12.75">
      <c r="L1343" s="365"/>
    </row>
    <row r="1344" ht="12.75">
      <c r="L1344" s="365"/>
    </row>
    <row r="1345" ht="12.75">
      <c r="L1345" s="365"/>
    </row>
    <row r="1346" ht="12.75">
      <c r="L1346" s="365"/>
    </row>
    <row r="1347" ht="12.75">
      <c r="L1347" s="365"/>
    </row>
    <row r="1348" ht="12.75">
      <c r="L1348" s="365"/>
    </row>
    <row r="1349" ht="12.75">
      <c r="L1349" s="365"/>
    </row>
    <row r="1350" ht="12.75">
      <c r="L1350" s="365"/>
    </row>
    <row r="1351" ht="12.75">
      <c r="L1351" s="365"/>
    </row>
    <row r="1352" ht="12.75">
      <c r="L1352" s="365"/>
    </row>
    <row r="1353" ht="12.75">
      <c r="L1353" s="365"/>
    </row>
    <row r="1354" ht="12.75">
      <c r="L1354" s="365"/>
    </row>
    <row r="1355" ht="12.75">
      <c r="L1355" s="365"/>
    </row>
    <row r="1356" ht="12.75">
      <c r="L1356" s="365"/>
    </row>
    <row r="1357" ht="12.75">
      <c r="L1357" s="365"/>
    </row>
    <row r="1358" ht="12.75">
      <c r="L1358" s="365"/>
    </row>
    <row r="1359" ht="12.75">
      <c r="L1359" s="365"/>
    </row>
    <row r="1360" ht="12.75">
      <c r="L1360" s="365"/>
    </row>
    <row r="1361" ht="12.75">
      <c r="L1361" s="365"/>
    </row>
    <row r="1362" ht="12.75">
      <c r="L1362" s="365"/>
    </row>
    <row r="1363" ht="12.75">
      <c r="L1363" s="365"/>
    </row>
    <row r="1364" ht="12.75">
      <c r="L1364" s="365"/>
    </row>
    <row r="1365" ht="12.75">
      <c r="L1365" s="365"/>
    </row>
    <row r="1366" ht="12.75">
      <c r="L1366" s="365"/>
    </row>
    <row r="1367" ht="12.75">
      <c r="L1367" s="365"/>
    </row>
    <row r="1368" ht="12.75">
      <c r="L1368" s="365"/>
    </row>
    <row r="1369" ht="12.75">
      <c r="L1369" s="365"/>
    </row>
    <row r="1370" ht="12.75">
      <c r="L1370" s="365"/>
    </row>
    <row r="1371" ht="12.75">
      <c r="L1371" s="365"/>
    </row>
    <row r="1372" ht="12.75">
      <c r="L1372" s="365"/>
    </row>
    <row r="1373" ht="12.75">
      <c r="L1373" s="365"/>
    </row>
    <row r="1374" ht="12.75">
      <c r="L1374" s="365"/>
    </row>
    <row r="1375" ht="12.75">
      <c r="L1375" s="365"/>
    </row>
    <row r="1376" ht="12.75">
      <c r="L1376" s="365"/>
    </row>
    <row r="1377" ht="12.75">
      <c r="L1377" s="365"/>
    </row>
    <row r="1378" ht="12.75">
      <c r="L1378" s="365"/>
    </row>
    <row r="1379" ht="12.75">
      <c r="L1379" s="365"/>
    </row>
    <row r="1380" ht="12.75">
      <c r="L1380" s="365"/>
    </row>
    <row r="1381" ht="12.75">
      <c r="L1381" s="365"/>
    </row>
    <row r="1382" ht="12.75">
      <c r="L1382" s="365"/>
    </row>
    <row r="1383" ht="12.75">
      <c r="L1383" s="365"/>
    </row>
    <row r="1384" ht="12.75">
      <c r="L1384" s="365"/>
    </row>
    <row r="1385" ht="12.75">
      <c r="L1385" s="365"/>
    </row>
    <row r="1386" ht="12.75">
      <c r="L1386" s="365"/>
    </row>
    <row r="1387" ht="12.75">
      <c r="L1387" s="365"/>
    </row>
    <row r="1388" ht="12.75">
      <c r="L1388" s="365"/>
    </row>
    <row r="1389" ht="12.75">
      <c r="L1389" s="365"/>
    </row>
    <row r="1390" ht="12.75">
      <c r="L1390" s="365"/>
    </row>
    <row r="1391" ht="12.75">
      <c r="L1391" s="365"/>
    </row>
    <row r="1392" ht="12.75">
      <c r="L1392" s="365"/>
    </row>
    <row r="1393" ht="12.75">
      <c r="L1393" s="365"/>
    </row>
    <row r="1394" ht="12.75">
      <c r="L1394" s="365"/>
    </row>
    <row r="1395" ht="12.75">
      <c r="L1395" s="365"/>
    </row>
    <row r="1396" ht="12.75">
      <c r="L1396" s="365"/>
    </row>
    <row r="1397" ht="12.75">
      <c r="L1397" s="365"/>
    </row>
    <row r="1398" ht="12.75">
      <c r="L1398" s="365"/>
    </row>
    <row r="1399" ht="12.75">
      <c r="L1399" s="365"/>
    </row>
    <row r="1400" ht="12.75">
      <c r="L1400" s="365"/>
    </row>
    <row r="1401" ht="12.75">
      <c r="L1401" s="365"/>
    </row>
    <row r="1402" ht="12.75">
      <c r="L1402" s="365"/>
    </row>
    <row r="1403" ht="12.75">
      <c r="L1403" s="365"/>
    </row>
    <row r="1404" ht="12.75">
      <c r="L1404" s="365"/>
    </row>
    <row r="1405" ht="12.75">
      <c r="L1405" s="365"/>
    </row>
    <row r="1406" ht="12.75">
      <c r="L1406" s="365"/>
    </row>
    <row r="1407" ht="12.75">
      <c r="L1407" s="365"/>
    </row>
    <row r="1408" ht="12.75">
      <c r="L1408" s="365"/>
    </row>
    <row r="1409" ht="12.75">
      <c r="L1409" s="365"/>
    </row>
    <row r="1410" ht="12.75">
      <c r="L1410" s="365"/>
    </row>
    <row r="1411" ht="12.75">
      <c r="L1411" s="365"/>
    </row>
    <row r="1412" ht="12.75">
      <c r="L1412" s="365"/>
    </row>
    <row r="1413" ht="12.75">
      <c r="L1413" s="365"/>
    </row>
    <row r="1414" ht="12.75">
      <c r="L1414" s="365"/>
    </row>
    <row r="1415" ht="12.75">
      <c r="L1415" s="365"/>
    </row>
    <row r="1416" ht="12.75">
      <c r="L1416" s="365"/>
    </row>
    <row r="1417" ht="12.75">
      <c r="L1417" s="365"/>
    </row>
    <row r="1418" ht="12.75">
      <c r="L1418" s="365"/>
    </row>
    <row r="1419" ht="12.75">
      <c r="L1419" s="365"/>
    </row>
    <row r="1420" ht="12.75">
      <c r="L1420" s="365"/>
    </row>
    <row r="1421" ht="12.75">
      <c r="L1421" s="365"/>
    </row>
    <row r="1422" ht="12.75">
      <c r="L1422" s="365"/>
    </row>
    <row r="1423" ht="12.75">
      <c r="L1423" s="365"/>
    </row>
    <row r="1424" ht="12.75">
      <c r="L1424" s="365"/>
    </row>
    <row r="1425" ht="12.75">
      <c r="L1425" s="365"/>
    </row>
    <row r="1426" ht="12.75">
      <c r="L1426" s="365"/>
    </row>
    <row r="1427" ht="12.75">
      <c r="L1427" s="365"/>
    </row>
    <row r="1428" ht="12.75">
      <c r="L1428" s="365"/>
    </row>
    <row r="1429" ht="12.75">
      <c r="L1429" s="365"/>
    </row>
    <row r="1430" ht="12.75">
      <c r="L1430" s="365"/>
    </row>
    <row r="1431" ht="12.75">
      <c r="L1431" s="365"/>
    </row>
    <row r="1432" ht="12.75">
      <c r="L1432" s="365"/>
    </row>
    <row r="1433" ht="12.75">
      <c r="L1433" s="365"/>
    </row>
    <row r="1434" ht="12.75">
      <c r="L1434" s="365"/>
    </row>
    <row r="1435" ht="12.75">
      <c r="L1435" s="365"/>
    </row>
    <row r="1436" ht="12.75">
      <c r="L1436" s="365"/>
    </row>
    <row r="1437" ht="12.75">
      <c r="L1437" s="365"/>
    </row>
    <row r="1438" ht="12.75">
      <c r="L1438" s="365"/>
    </row>
    <row r="1439" ht="12.75">
      <c r="L1439" s="365"/>
    </row>
    <row r="1440" ht="12.75">
      <c r="L1440" s="365"/>
    </row>
    <row r="1441" ht="12.75">
      <c r="L1441" s="365"/>
    </row>
    <row r="1442" ht="12.75">
      <c r="L1442" s="365"/>
    </row>
    <row r="1443" ht="12.75">
      <c r="L1443" s="365"/>
    </row>
    <row r="1444" ht="12.75">
      <c r="L1444" s="365"/>
    </row>
    <row r="1445" ht="12.75">
      <c r="L1445" s="365"/>
    </row>
    <row r="1446" ht="12.75">
      <c r="L1446" s="365"/>
    </row>
    <row r="1447" ht="12.75">
      <c r="L1447" s="365"/>
    </row>
    <row r="1448" ht="12.75">
      <c r="L1448" s="365"/>
    </row>
    <row r="1449" ht="12.75">
      <c r="L1449" s="365"/>
    </row>
    <row r="1450" ht="12.75">
      <c r="L1450" s="365"/>
    </row>
    <row r="1451" ht="12.75">
      <c r="L1451" s="365"/>
    </row>
    <row r="1452" ht="12.75">
      <c r="L1452" s="365"/>
    </row>
    <row r="1453" ht="12.75">
      <c r="L1453" s="365"/>
    </row>
    <row r="1454" ht="12.75">
      <c r="L1454" s="365"/>
    </row>
    <row r="1455" ht="12.75">
      <c r="L1455" s="365"/>
    </row>
    <row r="1456" ht="12.75">
      <c r="L1456" s="365"/>
    </row>
    <row r="1457" ht="12.75">
      <c r="L1457" s="365"/>
    </row>
    <row r="1458" ht="12.75">
      <c r="L1458" s="365"/>
    </row>
    <row r="1459" ht="12.75">
      <c r="L1459" s="365"/>
    </row>
    <row r="1460" ht="12.75">
      <c r="L1460" s="365"/>
    </row>
    <row r="1461" ht="12.75">
      <c r="L1461" s="365"/>
    </row>
    <row r="1462" ht="12.75">
      <c r="L1462" s="365"/>
    </row>
    <row r="1463" ht="12.75">
      <c r="L1463" s="365"/>
    </row>
    <row r="1464" ht="12.75">
      <c r="L1464" s="365"/>
    </row>
    <row r="1465" ht="12.75">
      <c r="L1465" s="365"/>
    </row>
    <row r="1466" ht="12.75">
      <c r="L1466" s="365"/>
    </row>
    <row r="1467" ht="12.75">
      <c r="L1467" s="365"/>
    </row>
    <row r="1468" ht="12.75">
      <c r="L1468" s="365"/>
    </row>
    <row r="1469" ht="12.75">
      <c r="L1469" s="365"/>
    </row>
    <row r="1470" ht="12.75">
      <c r="L1470" s="365"/>
    </row>
    <row r="1471" ht="12.75">
      <c r="L1471" s="365"/>
    </row>
    <row r="1472" ht="12.75">
      <c r="L1472" s="365"/>
    </row>
    <row r="1473" ht="12.75">
      <c r="L1473" s="365"/>
    </row>
    <row r="1474" ht="12.75">
      <c r="L1474" s="365"/>
    </row>
    <row r="1475" ht="12.75">
      <c r="L1475" s="365"/>
    </row>
    <row r="1476" ht="12.75">
      <c r="L1476" s="365"/>
    </row>
    <row r="1477" ht="12.75">
      <c r="L1477" s="365"/>
    </row>
    <row r="1478" ht="12.75">
      <c r="L1478" s="365"/>
    </row>
    <row r="1479" ht="12.75">
      <c r="L1479" s="365"/>
    </row>
    <row r="1480" ht="12.75">
      <c r="L1480" s="365"/>
    </row>
    <row r="1481" ht="12.75">
      <c r="L1481" s="365"/>
    </row>
    <row r="1482" ht="12.75">
      <c r="L1482" s="365"/>
    </row>
    <row r="1483" ht="12.75">
      <c r="L1483" s="365"/>
    </row>
    <row r="1484" ht="12.75">
      <c r="L1484" s="365"/>
    </row>
    <row r="1485" ht="12.75">
      <c r="L1485" s="365"/>
    </row>
    <row r="1486" ht="12.75">
      <c r="L1486" s="365"/>
    </row>
    <row r="1487" ht="12.75">
      <c r="L1487" s="365"/>
    </row>
    <row r="1488" ht="12.75">
      <c r="L1488" s="365"/>
    </row>
    <row r="1489" ht="12.75">
      <c r="L1489" s="365"/>
    </row>
    <row r="1490" ht="12.75">
      <c r="L1490" s="365"/>
    </row>
    <row r="1491" ht="12.75">
      <c r="L1491" s="365"/>
    </row>
    <row r="1492" ht="12.75">
      <c r="L1492" s="365"/>
    </row>
    <row r="1493" ht="12.75">
      <c r="L1493" s="365"/>
    </row>
    <row r="1494" ht="12.75">
      <c r="L1494" s="365"/>
    </row>
    <row r="1495" ht="12.75">
      <c r="L1495" s="365"/>
    </row>
    <row r="1496" ht="12.75">
      <c r="L1496" s="365"/>
    </row>
    <row r="1497" ht="12.75">
      <c r="L1497" s="365"/>
    </row>
    <row r="1498" ht="12.75">
      <c r="L1498" s="365"/>
    </row>
    <row r="1499" ht="12.75">
      <c r="L1499" s="365"/>
    </row>
    <row r="1500" ht="12.75">
      <c r="L1500" s="365"/>
    </row>
    <row r="1501" ht="12.75">
      <c r="L1501" s="365"/>
    </row>
    <row r="1502" ht="12.75">
      <c r="L1502" s="365"/>
    </row>
    <row r="1503" ht="12.75">
      <c r="L1503" s="365"/>
    </row>
    <row r="1504" ht="12.75">
      <c r="L1504" s="365"/>
    </row>
    <row r="1505" ht="12.75">
      <c r="L1505" s="365"/>
    </row>
    <row r="1506" ht="12.75">
      <c r="L1506" s="365"/>
    </row>
    <row r="1507" ht="12.75">
      <c r="L1507" s="365"/>
    </row>
    <row r="1508" ht="12.75">
      <c r="L1508" s="365"/>
    </row>
    <row r="1509" ht="12.75">
      <c r="L1509" s="365"/>
    </row>
    <row r="1510" ht="12.75">
      <c r="L1510" s="365"/>
    </row>
    <row r="1511" ht="12.75">
      <c r="L1511" s="365"/>
    </row>
    <row r="1512" ht="12.75">
      <c r="L1512" s="365"/>
    </row>
    <row r="1513" ht="12.75">
      <c r="L1513" s="365"/>
    </row>
    <row r="1514" ht="12.75">
      <c r="L1514" s="365"/>
    </row>
    <row r="1515" ht="12.75">
      <c r="L1515" s="365"/>
    </row>
    <row r="1516" ht="12.75">
      <c r="L1516" s="365"/>
    </row>
    <row r="1517" ht="12.75">
      <c r="L1517" s="365"/>
    </row>
    <row r="1518" ht="12.75">
      <c r="L1518" s="365"/>
    </row>
    <row r="1519" ht="12.75">
      <c r="L1519" s="365"/>
    </row>
    <row r="1520" ht="12.75">
      <c r="L1520" s="365"/>
    </row>
    <row r="1521" ht="12.75">
      <c r="L1521" s="365"/>
    </row>
    <row r="1522" ht="12.75">
      <c r="L1522" s="365"/>
    </row>
    <row r="1523" ht="12.75">
      <c r="L1523" s="365"/>
    </row>
    <row r="1524" ht="12.75">
      <c r="L1524" s="365"/>
    </row>
    <row r="1525" ht="12.75">
      <c r="L1525" s="365"/>
    </row>
    <row r="1526" ht="12.75">
      <c r="L1526" s="365"/>
    </row>
    <row r="1527" ht="12.75">
      <c r="L1527" s="365"/>
    </row>
    <row r="1528" ht="12.75">
      <c r="L1528" s="365"/>
    </row>
    <row r="1529" ht="12.75">
      <c r="L1529" s="365"/>
    </row>
    <row r="1530" ht="12.75">
      <c r="L1530" s="365"/>
    </row>
    <row r="1531" ht="12.75">
      <c r="L1531" s="365"/>
    </row>
    <row r="1532" ht="12.75">
      <c r="L1532" s="365"/>
    </row>
    <row r="1533" ht="12.75">
      <c r="L1533" s="365"/>
    </row>
    <row r="1534" ht="12.75">
      <c r="L1534" s="365"/>
    </row>
    <row r="1535" ht="12.75">
      <c r="L1535" s="365"/>
    </row>
    <row r="1536" ht="12.75">
      <c r="L1536" s="365"/>
    </row>
    <row r="1537" ht="12.75">
      <c r="L1537" s="365"/>
    </row>
    <row r="1538" ht="12.75">
      <c r="L1538" s="365"/>
    </row>
    <row r="1539" ht="12.75">
      <c r="L1539" s="365"/>
    </row>
    <row r="1540" ht="12.75">
      <c r="L1540" s="365"/>
    </row>
    <row r="1541" ht="12.75">
      <c r="L1541" s="365"/>
    </row>
    <row r="1542" ht="12.75">
      <c r="L1542" s="365"/>
    </row>
    <row r="1543" ht="12.75">
      <c r="L1543" s="365"/>
    </row>
    <row r="1544" ht="12.75">
      <c r="L1544" s="365"/>
    </row>
    <row r="1545" ht="12.75">
      <c r="L1545" s="365"/>
    </row>
    <row r="1546" ht="12.75">
      <c r="L1546" s="365"/>
    </row>
    <row r="1547" ht="12.75">
      <c r="L1547" s="365"/>
    </row>
    <row r="1548" ht="12.75">
      <c r="L1548" s="365"/>
    </row>
    <row r="1549" ht="12.75">
      <c r="L1549" s="365"/>
    </row>
    <row r="1550" ht="12.75">
      <c r="L1550" s="365"/>
    </row>
    <row r="1551" ht="12.75">
      <c r="L1551" s="365"/>
    </row>
    <row r="1552" ht="12.75">
      <c r="L1552" s="365"/>
    </row>
    <row r="1553" ht="12.75">
      <c r="L1553" s="365"/>
    </row>
    <row r="1554" ht="12.75">
      <c r="L1554" s="365"/>
    </row>
    <row r="1555" ht="12.75">
      <c r="L1555" s="365"/>
    </row>
    <row r="1556" ht="12.75">
      <c r="L1556" s="365"/>
    </row>
    <row r="1557" ht="12.75">
      <c r="L1557" s="365"/>
    </row>
    <row r="1558" ht="12.75">
      <c r="L1558" s="365"/>
    </row>
    <row r="1559" ht="12.75">
      <c r="L1559" s="365"/>
    </row>
    <row r="1560" ht="12.75">
      <c r="L1560" s="365"/>
    </row>
    <row r="1561" ht="12.75">
      <c r="L1561" s="365"/>
    </row>
    <row r="1562" ht="12.75">
      <c r="L1562" s="365"/>
    </row>
    <row r="1563" ht="12.75">
      <c r="L1563" s="365"/>
    </row>
    <row r="1564" ht="12.75">
      <c r="L1564" s="365"/>
    </row>
    <row r="1565" ht="12.75">
      <c r="L1565" s="365"/>
    </row>
    <row r="1566" ht="12.75">
      <c r="L1566" s="365"/>
    </row>
    <row r="1567" ht="12.75">
      <c r="L1567" s="365"/>
    </row>
    <row r="1568" ht="12.75">
      <c r="L1568" s="365"/>
    </row>
    <row r="1569" ht="12.75">
      <c r="L1569" s="365"/>
    </row>
    <row r="1570" ht="12.75">
      <c r="L1570" s="365"/>
    </row>
    <row r="1571" ht="12.75">
      <c r="L1571" s="365"/>
    </row>
    <row r="1572" ht="12.75">
      <c r="L1572" s="365"/>
    </row>
    <row r="1573" ht="12.75">
      <c r="L1573" s="365"/>
    </row>
    <row r="1574" ht="12.75">
      <c r="L1574" s="365"/>
    </row>
    <row r="1575" ht="12.75">
      <c r="L1575" s="365"/>
    </row>
    <row r="1576" ht="12.75">
      <c r="L1576" s="365"/>
    </row>
    <row r="1577" ht="12.75">
      <c r="L1577" s="365"/>
    </row>
    <row r="1578" ht="12.75">
      <c r="L1578" s="365"/>
    </row>
    <row r="1579" ht="12.75">
      <c r="L1579" s="365"/>
    </row>
    <row r="1580" ht="12.75">
      <c r="L1580" s="365"/>
    </row>
    <row r="1581" ht="12.75">
      <c r="L1581" s="365"/>
    </row>
    <row r="1582" ht="12.75">
      <c r="L1582" s="365"/>
    </row>
    <row r="1583" ht="12.75">
      <c r="L1583" s="365"/>
    </row>
    <row r="1584" ht="12.75">
      <c r="L1584" s="365"/>
    </row>
    <row r="1585" ht="12.75">
      <c r="L1585" s="365"/>
    </row>
    <row r="1586" ht="12.75">
      <c r="L1586" s="365"/>
    </row>
    <row r="1587" ht="12.75">
      <c r="L1587" s="365"/>
    </row>
    <row r="1588" ht="12.75">
      <c r="L1588" s="365"/>
    </row>
    <row r="1589" ht="12.75">
      <c r="L1589" s="365"/>
    </row>
    <row r="1590" ht="12.75">
      <c r="L1590" s="365"/>
    </row>
    <row r="1591" ht="12.75">
      <c r="L1591" s="365"/>
    </row>
    <row r="1592" ht="12.75">
      <c r="L1592" s="365"/>
    </row>
    <row r="1593" ht="12.75">
      <c r="L1593" s="365"/>
    </row>
    <row r="1594" ht="12.75">
      <c r="L1594" s="365"/>
    </row>
    <row r="1595" ht="12.75">
      <c r="L1595" s="365"/>
    </row>
    <row r="1596" ht="12.75">
      <c r="L1596" s="365"/>
    </row>
    <row r="1597" ht="12.75">
      <c r="L1597" s="365"/>
    </row>
    <row r="1598" ht="12.75">
      <c r="L1598" s="365"/>
    </row>
    <row r="1599" ht="12.75">
      <c r="L1599" s="365"/>
    </row>
    <row r="1600" ht="12.75">
      <c r="L1600" s="365"/>
    </row>
    <row r="1601" ht="12.75">
      <c r="L1601" s="365"/>
    </row>
    <row r="1602" ht="12.75">
      <c r="L1602" s="365"/>
    </row>
    <row r="1603" ht="12.75">
      <c r="L1603" s="365"/>
    </row>
    <row r="1604" ht="12.75">
      <c r="L1604" s="365"/>
    </row>
    <row r="1605" ht="12.75">
      <c r="L1605" s="365"/>
    </row>
    <row r="1606" ht="12.75">
      <c r="L1606" s="365"/>
    </row>
    <row r="1607" ht="12.75">
      <c r="L1607" s="365"/>
    </row>
    <row r="1608" ht="12.75">
      <c r="L1608" s="365"/>
    </row>
    <row r="1609" ht="12.75">
      <c r="L1609" s="365"/>
    </row>
    <row r="1610" ht="12.75">
      <c r="L1610" s="365"/>
    </row>
    <row r="1611" ht="12.75">
      <c r="L1611" s="365"/>
    </row>
    <row r="1612" ht="12.75">
      <c r="L1612" s="365"/>
    </row>
    <row r="1613" ht="12.75">
      <c r="L1613" s="365"/>
    </row>
    <row r="1614" ht="12.75">
      <c r="L1614" s="365"/>
    </row>
    <row r="1615" ht="12.75">
      <c r="L1615" s="365"/>
    </row>
    <row r="1616" ht="12.75">
      <c r="L1616" s="365"/>
    </row>
    <row r="1617" ht="12.75">
      <c r="L1617" s="365"/>
    </row>
    <row r="1618" ht="12.75">
      <c r="L1618" s="365"/>
    </row>
    <row r="1619" ht="12.75">
      <c r="L1619" s="365"/>
    </row>
    <row r="1620" ht="12.75">
      <c r="L1620" s="365"/>
    </row>
    <row r="1621" ht="12.75">
      <c r="L1621" s="365"/>
    </row>
    <row r="1622" ht="12.75">
      <c r="L1622" s="365"/>
    </row>
    <row r="1623" ht="12.75">
      <c r="L1623" s="365"/>
    </row>
    <row r="1624" ht="12.75">
      <c r="L1624" s="365"/>
    </row>
    <row r="1625" ht="12.75">
      <c r="L1625" s="365"/>
    </row>
    <row r="1626" ht="12.75">
      <c r="L1626" s="365"/>
    </row>
    <row r="1627" ht="12.75">
      <c r="L1627" s="365"/>
    </row>
    <row r="1628" ht="12.75">
      <c r="L1628" s="365"/>
    </row>
    <row r="1629" ht="12.75">
      <c r="L1629" s="365"/>
    </row>
    <row r="1630" ht="12.75">
      <c r="L1630" s="365"/>
    </row>
    <row r="1631" ht="12.75">
      <c r="L1631" s="365"/>
    </row>
    <row r="1632" ht="12.75">
      <c r="L1632" s="365"/>
    </row>
    <row r="1633" ht="12.75">
      <c r="L1633" s="365"/>
    </row>
    <row r="1634" ht="12.75">
      <c r="L1634" s="365"/>
    </row>
    <row r="1635" ht="12.75">
      <c r="L1635" s="365"/>
    </row>
    <row r="1636" ht="12.75">
      <c r="L1636" s="365"/>
    </row>
    <row r="1637" ht="12.75">
      <c r="L1637" s="365"/>
    </row>
    <row r="1638" ht="12.75">
      <c r="L1638" s="365"/>
    </row>
    <row r="1639" ht="12.75">
      <c r="L1639" s="365"/>
    </row>
    <row r="1640" ht="12.75">
      <c r="L1640" s="365"/>
    </row>
    <row r="1641" ht="12.75">
      <c r="L1641" s="365"/>
    </row>
    <row r="1642" ht="12.75">
      <c r="L1642" s="365"/>
    </row>
    <row r="1643" ht="12.75">
      <c r="L1643" s="365"/>
    </row>
    <row r="1644" ht="12.75">
      <c r="L1644" s="365"/>
    </row>
    <row r="1645" ht="12.75">
      <c r="L1645" s="365"/>
    </row>
    <row r="1646" ht="12.75">
      <c r="L1646" s="365"/>
    </row>
    <row r="1647" ht="12.75">
      <c r="L1647" s="365"/>
    </row>
    <row r="1648" ht="12.75">
      <c r="L1648" s="365"/>
    </row>
    <row r="1649" ht="12.75">
      <c r="L1649" s="365"/>
    </row>
    <row r="1650" ht="12.75">
      <c r="L1650" s="365"/>
    </row>
    <row r="1651" ht="12.75">
      <c r="L1651" s="365"/>
    </row>
    <row r="1652" ht="12.75">
      <c r="L1652" s="365"/>
    </row>
    <row r="1653" ht="12.75">
      <c r="L1653" s="365"/>
    </row>
    <row r="1654" ht="12.75">
      <c r="L1654" s="365"/>
    </row>
    <row r="1655" ht="12.75">
      <c r="L1655" s="365"/>
    </row>
    <row r="1656" ht="12.75">
      <c r="L1656" s="365"/>
    </row>
    <row r="1657" ht="12.75">
      <c r="L1657" s="365"/>
    </row>
    <row r="1658" ht="12.75">
      <c r="L1658" s="365"/>
    </row>
    <row r="1659" ht="12.75">
      <c r="L1659" s="365"/>
    </row>
    <row r="1660" ht="12.75">
      <c r="L1660" s="365"/>
    </row>
    <row r="1661" ht="12.75">
      <c r="L1661" s="365"/>
    </row>
    <row r="1662" ht="12.75">
      <c r="L1662" s="365"/>
    </row>
    <row r="1663" ht="12.75">
      <c r="L1663" s="365"/>
    </row>
    <row r="1664" ht="12.75">
      <c r="L1664" s="365"/>
    </row>
    <row r="1665" ht="12.75">
      <c r="L1665" s="365"/>
    </row>
    <row r="1666" ht="12.75">
      <c r="L1666" s="365"/>
    </row>
    <row r="1667" ht="12.75">
      <c r="L1667" s="365"/>
    </row>
    <row r="1668" ht="12.75">
      <c r="L1668" s="365"/>
    </row>
    <row r="1669" ht="12.75">
      <c r="L1669" s="365"/>
    </row>
    <row r="1670" ht="12.75">
      <c r="L1670" s="365"/>
    </row>
    <row r="1671" ht="12.75">
      <c r="L1671" s="365"/>
    </row>
    <row r="1672" ht="12.75">
      <c r="L1672" s="365"/>
    </row>
    <row r="1673" ht="12.75">
      <c r="L1673" s="365"/>
    </row>
    <row r="1674" ht="12.75">
      <c r="L1674" s="365"/>
    </row>
    <row r="1675" ht="12.75">
      <c r="L1675" s="365"/>
    </row>
    <row r="1676" ht="12.75">
      <c r="L1676" s="365"/>
    </row>
    <row r="1677" ht="12.75">
      <c r="L1677" s="365"/>
    </row>
    <row r="1678" ht="12.75">
      <c r="L1678" s="365"/>
    </row>
    <row r="1679" ht="12.75">
      <c r="L1679" s="365"/>
    </row>
    <row r="1680" ht="12.75">
      <c r="L1680" s="365"/>
    </row>
    <row r="1681" ht="12.75">
      <c r="L1681" s="365"/>
    </row>
    <row r="1682" ht="12.75">
      <c r="L1682" s="365"/>
    </row>
    <row r="1683" ht="12.75">
      <c r="L1683" s="365"/>
    </row>
    <row r="1684" ht="12.75">
      <c r="L1684" s="365"/>
    </row>
    <row r="1685" ht="12.75">
      <c r="L1685" s="365"/>
    </row>
    <row r="1686" ht="12.75">
      <c r="L1686" s="365"/>
    </row>
    <row r="1687" ht="12.75">
      <c r="L1687" s="365"/>
    </row>
    <row r="1688" ht="12.75">
      <c r="L1688" s="365"/>
    </row>
    <row r="1689" ht="12.75">
      <c r="L1689" s="365"/>
    </row>
    <row r="1690" ht="12.75">
      <c r="L1690" s="365"/>
    </row>
    <row r="1691" ht="12.75">
      <c r="L1691" s="365"/>
    </row>
    <row r="1692" ht="12.75">
      <c r="L1692" s="365"/>
    </row>
    <row r="1693" ht="12.75">
      <c r="L1693" s="365"/>
    </row>
    <row r="1694" ht="12.75">
      <c r="L1694" s="365"/>
    </row>
    <row r="1695" ht="12.75">
      <c r="L1695" s="365"/>
    </row>
    <row r="1696" ht="12.75">
      <c r="L1696" s="365"/>
    </row>
    <row r="1697" ht="12.75">
      <c r="L1697" s="365"/>
    </row>
    <row r="1698" ht="12.75">
      <c r="L1698" s="365"/>
    </row>
    <row r="1699" ht="12.75">
      <c r="L1699" s="365"/>
    </row>
    <row r="1700" ht="12.75">
      <c r="L1700" s="365"/>
    </row>
    <row r="1701" ht="12.75">
      <c r="L1701" s="365"/>
    </row>
    <row r="1702" ht="12.75">
      <c r="L1702" s="365"/>
    </row>
    <row r="1703" ht="12.75">
      <c r="L1703" s="365"/>
    </row>
    <row r="1704" ht="12.75">
      <c r="L1704" s="365"/>
    </row>
    <row r="1705" ht="12.75">
      <c r="L1705" s="365"/>
    </row>
    <row r="1706" ht="12.75">
      <c r="L1706" s="365"/>
    </row>
    <row r="1707" ht="12.75">
      <c r="L1707" s="365"/>
    </row>
    <row r="1708" ht="12.75">
      <c r="L1708" s="365"/>
    </row>
    <row r="1709" ht="12.75">
      <c r="L1709" s="365"/>
    </row>
    <row r="1710" ht="12.75">
      <c r="L1710" s="365"/>
    </row>
    <row r="1711" ht="12.75">
      <c r="L1711" s="365"/>
    </row>
    <row r="1712" ht="12.75">
      <c r="L1712" s="365"/>
    </row>
    <row r="1713" ht="12.75">
      <c r="L1713" s="365"/>
    </row>
    <row r="1714" ht="12.75">
      <c r="L1714" s="365"/>
    </row>
    <row r="1715" ht="12.75">
      <c r="L1715" s="365"/>
    </row>
    <row r="1716" ht="12.75">
      <c r="L1716" s="365"/>
    </row>
    <row r="1717" ht="12.75">
      <c r="L1717" s="365"/>
    </row>
    <row r="1718" ht="12.75">
      <c r="L1718" s="365"/>
    </row>
    <row r="1719" ht="12.75">
      <c r="L1719" s="365"/>
    </row>
    <row r="1720" ht="12.75">
      <c r="L1720" s="365"/>
    </row>
    <row r="1721" ht="12.75">
      <c r="L1721" s="365"/>
    </row>
    <row r="1722" ht="12.75">
      <c r="L1722" s="365"/>
    </row>
    <row r="1723" ht="12.75">
      <c r="L1723" s="365"/>
    </row>
    <row r="1724" ht="12.75">
      <c r="L1724" s="365"/>
    </row>
    <row r="1725" ht="12.75">
      <c r="L1725" s="365"/>
    </row>
    <row r="1726" ht="12.75">
      <c r="L1726" s="365"/>
    </row>
    <row r="1727" ht="12.75">
      <c r="L1727" s="365"/>
    </row>
    <row r="1728" ht="12.75">
      <c r="L1728" s="365"/>
    </row>
    <row r="1729" ht="12.75">
      <c r="L1729" s="365"/>
    </row>
    <row r="1730" ht="12.75">
      <c r="L1730" s="365"/>
    </row>
    <row r="1731" ht="12.75">
      <c r="L1731" s="365"/>
    </row>
    <row r="1732" ht="12.75">
      <c r="L1732" s="365"/>
    </row>
    <row r="1733" ht="12.75">
      <c r="L1733" s="365"/>
    </row>
    <row r="1734" ht="12.75">
      <c r="L1734" s="365"/>
    </row>
    <row r="1735" ht="12.75">
      <c r="L1735" s="365"/>
    </row>
    <row r="1736" ht="12.75">
      <c r="L1736" s="365"/>
    </row>
    <row r="1737" ht="12.75">
      <c r="L1737" s="365"/>
    </row>
    <row r="1738" ht="12.75">
      <c r="L1738" s="365"/>
    </row>
    <row r="1739" ht="12.75">
      <c r="L1739" s="365"/>
    </row>
    <row r="1740" ht="12.75">
      <c r="L1740" s="365"/>
    </row>
    <row r="1741" ht="12.75">
      <c r="L1741" s="365"/>
    </row>
    <row r="1742" ht="12.75">
      <c r="L1742" s="365"/>
    </row>
    <row r="1743" ht="12.75">
      <c r="L1743" s="365"/>
    </row>
    <row r="1744" ht="12.75">
      <c r="L1744" s="365"/>
    </row>
    <row r="1745" ht="12.75">
      <c r="L1745" s="365"/>
    </row>
    <row r="1746" ht="12.75">
      <c r="L1746" s="365"/>
    </row>
    <row r="1747" ht="12.75">
      <c r="L1747" s="365"/>
    </row>
    <row r="1748" ht="12.75">
      <c r="L1748" s="365"/>
    </row>
    <row r="1749" ht="12.75">
      <c r="L1749" s="365"/>
    </row>
    <row r="1750" ht="12.75">
      <c r="L1750" s="365"/>
    </row>
    <row r="1751" ht="12.75">
      <c r="L1751" s="365"/>
    </row>
    <row r="1752" ht="12.75">
      <c r="L1752" s="365"/>
    </row>
    <row r="1753" ht="12.75">
      <c r="L1753" s="365"/>
    </row>
    <row r="1754" ht="12.75">
      <c r="L1754" s="365"/>
    </row>
    <row r="1755" ht="12.75">
      <c r="L1755" s="365"/>
    </row>
    <row r="1756" ht="12.75">
      <c r="L1756" s="365"/>
    </row>
    <row r="1757" ht="12.75">
      <c r="L1757" s="365"/>
    </row>
    <row r="1758" ht="12.75">
      <c r="L1758" s="365"/>
    </row>
    <row r="1759" ht="12.75">
      <c r="L1759" s="365"/>
    </row>
    <row r="1760" ht="12.75">
      <c r="L1760" s="365"/>
    </row>
    <row r="1761" ht="12.75">
      <c r="L1761" s="365"/>
    </row>
    <row r="1762" ht="12.75">
      <c r="L1762" s="365"/>
    </row>
    <row r="1763" ht="12.75">
      <c r="L1763" s="365"/>
    </row>
    <row r="1764" ht="12.75">
      <c r="L1764" s="365"/>
    </row>
    <row r="1765" ht="12.75">
      <c r="L1765" s="365"/>
    </row>
    <row r="1766" ht="12.75">
      <c r="L1766" s="365"/>
    </row>
    <row r="1767" ht="12.75">
      <c r="L1767" s="365"/>
    </row>
    <row r="1768" ht="12.75">
      <c r="L1768" s="365"/>
    </row>
    <row r="1769" ht="12.75">
      <c r="L1769" s="365"/>
    </row>
    <row r="1770" ht="12.75">
      <c r="L1770" s="365"/>
    </row>
    <row r="1771" ht="12.75">
      <c r="L1771" s="365"/>
    </row>
    <row r="1772" ht="12.75">
      <c r="L1772" s="365"/>
    </row>
    <row r="1773" ht="12.75">
      <c r="L1773" s="365"/>
    </row>
    <row r="1774" ht="12.75">
      <c r="L1774" s="365"/>
    </row>
    <row r="1775" ht="12.75">
      <c r="L1775" s="365"/>
    </row>
    <row r="1776" ht="12.75">
      <c r="L1776" s="365"/>
    </row>
    <row r="1777" ht="12.75">
      <c r="L1777" s="365"/>
    </row>
    <row r="1778" ht="12.75">
      <c r="L1778" s="365"/>
    </row>
    <row r="1779" ht="12.75">
      <c r="L1779" s="365"/>
    </row>
    <row r="1780" ht="12.75">
      <c r="L1780" s="365"/>
    </row>
    <row r="1781" ht="12.75">
      <c r="L1781" s="365"/>
    </row>
    <row r="1782" ht="12.75">
      <c r="L1782" s="365"/>
    </row>
    <row r="1783" ht="12.75">
      <c r="L1783" s="365"/>
    </row>
    <row r="1784" ht="12.75">
      <c r="L1784" s="365"/>
    </row>
    <row r="1785" ht="12.75">
      <c r="L1785" s="365"/>
    </row>
    <row r="1786" ht="12.75">
      <c r="L1786" s="365"/>
    </row>
    <row r="1787" ht="12.75">
      <c r="L1787" s="365"/>
    </row>
    <row r="1788" ht="12.75">
      <c r="L1788" s="365"/>
    </row>
    <row r="1789" ht="12.75">
      <c r="L1789" s="365"/>
    </row>
    <row r="1790" ht="12.75">
      <c r="L1790" s="365"/>
    </row>
    <row r="1791" ht="12.75">
      <c r="L1791" s="365"/>
    </row>
    <row r="1792" ht="12.75">
      <c r="L1792" s="365"/>
    </row>
    <row r="1793" ht="12.75">
      <c r="L1793" s="365"/>
    </row>
    <row r="1794" ht="12.75">
      <c r="L1794" s="365"/>
    </row>
    <row r="1795" ht="12.75">
      <c r="L1795" s="365"/>
    </row>
    <row r="1796" ht="12.75">
      <c r="L1796" s="365"/>
    </row>
    <row r="1797" ht="12.75">
      <c r="L1797" s="365"/>
    </row>
    <row r="1798" ht="12.75">
      <c r="L1798" s="365"/>
    </row>
    <row r="1799" ht="12.75">
      <c r="L1799" s="365"/>
    </row>
    <row r="1800" ht="12.75">
      <c r="L1800" s="365"/>
    </row>
    <row r="1801" ht="12.75">
      <c r="L1801" s="365"/>
    </row>
    <row r="1802" ht="12.75">
      <c r="L1802" s="365"/>
    </row>
    <row r="1803" ht="12.75">
      <c r="L1803" s="365"/>
    </row>
    <row r="1804" ht="12.75">
      <c r="L1804" s="365"/>
    </row>
    <row r="1805" ht="12.75">
      <c r="L1805" s="365"/>
    </row>
    <row r="1806" ht="12.75">
      <c r="L1806" s="365"/>
    </row>
    <row r="1807" ht="12.75">
      <c r="L1807" s="365"/>
    </row>
    <row r="1808" ht="12.75">
      <c r="L1808" s="365"/>
    </row>
    <row r="1809" ht="12.75">
      <c r="L1809" s="365"/>
    </row>
    <row r="1810" ht="12.75">
      <c r="L1810" s="365"/>
    </row>
    <row r="1811" ht="12.75">
      <c r="L1811" s="365"/>
    </row>
    <row r="1812" ht="12.75">
      <c r="L1812" s="365"/>
    </row>
    <row r="1813" ht="12.75">
      <c r="L1813" s="365"/>
    </row>
    <row r="1814" ht="12.75">
      <c r="L1814" s="365"/>
    </row>
    <row r="1815" ht="12.75">
      <c r="L1815" s="365"/>
    </row>
    <row r="1816" ht="12.75">
      <c r="L1816" s="365"/>
    </row>
    <row r="1817" ht="12.75">
      <c r="L1817" s="365"/>
    </row>
    <row r="1818" ht="12.75">
      <c r="L1818" s="365"/>
    </row>
    <row r="1819" ht="12.75">
      <c r="L1819" s="365"/>
    </row>
    <row r="1820" ht="12.75">
      <c r="L1820" s="365"/>
    </row>
    <row r="1821" ht="12.75">
      <c r="L1821" s="365"/>
    </row>
    <row r="1822" ht="12.75">
      <c r="L1822" s="365"/>
    </row>
    <row r="1823" ht="12.75">
      <c r="L1823" s="365"/>
    </row>
    <row r="1824" ht="12.75">
      <c r="L1824" s="365"/>
    </row>
    <row r="1825" ht="12.75">
      <c r="L1825" s="365"/>
    </row>
    <row r="1826" ht="12.75">
      <c r="L1826" s="365"/>
    </row>
    <row r="1827" ht="12.75">
      <c r="L1827" s="365"/>
    </row>
    <row r="1828" ht="12.75">
      <c r="L1828" s="365"/>
    </row>
    <row r="1829" ht="12.75">
      <c r="L1829" s="365"/>
    </row>
    <row r="1830" ht="12.75">
      <c r="L1830" s="365"/>
    </row>
    <row r="1831" ht="12.75">
      <c r="L1831" s="365"/>
    </row>
    <row r="1832" ht="12.75">
      <c r="L1832" s="365"/>
    </row>
    <row r="1833" ht="12.75">
      <c r="L1833" s="365"/>
    </row>
    <row r="1834" ht="12.75">
      <c r="L1834" s="365"/>
    </row>
    <row r="1835" ht="12.75">
      <c r="L1835" s="365"/>
    </row>
    <row r="1836" ht="12.75">
      <c r="L1836" s="365"/>
    </row>
    <row r="1837" ht="12.75">
      <c r="L1837" s="365"/>
    </row>
    <row r="1838" ht="12.75">
      <c r="L1838" s="365"/>
    </row>
    <row r="1839" ht="12.75">
      <c r="L1839" s="365"/>
    </row>
    <row r="1840" ht="12.75">
      <c r="L1840" s="365"/>
    </row>
    <row r="1841" ht="12.75">
      <c r="L1841" s="365"/>
    </row>
    <row r="1842" ht="12.75">
      <c r="L1842" s="365"/>
    </row>
    <row r="1843" ht="12.75">
      <c r="L1843" s="365"/>
    </row>
    <row r="1844" ht="12.75">
      <c r="L1844" s="365"/>
    </row>
    <row r="1845" ht="12.75">
      <c r="L1845" s="365"/>
    </row>
    <row r="1846" ht="12.75">
      <c r="L1846" s="365"/>
    </row>
    <row r="1847" ht="12.75">
      <c r="L1847" s="365"/>
    </row>
    <row r="1848" ht="12.75">
      <c r="L1848" s="365"/>
    </row>
    <row r="1849" ht="12.75">
      <c r="L1849" s="365"/>
    </row>
    <row r="1850" ht="12.75">
      <c r="L1850" s="365"/>
    </row>
    <row r="1851" ht="12.75">
      <c r="L1851" s="365"/>
    </row>
    <row r="1852" ht="12.75">
      <c r="L1852" s="365"/>
    </row>
    <row r="1853" ht="12.75">
      <c r="L1853" s="365"/>
    </row>
    <row r="1854" ht="12.75">
      <c r="L1854" s="365"/>
    </row>
    <row r="1855" ht="12.75">
      <c r="L1855" s="365"/>
    </row>
    <row r="1856" ht="12.75">
      <c r="L1856" s="365"/>
    </row>
    <row r="1857" ht="12.75">
      <c r="L1857" s="365"/>
    </row>
    <row r="1858" ht="12.75">
      <c r="L1858" s="365"/>
    </row>
    <row r="1859" ht="12.75">
      <c r="L1859" s="365"/>
    </row>
    <row r="1860" ht="12.75">
      <c r="L1860" s="365"/>
    </row>
    <row r="1861" ht="12.75">
      <c r="L1861" s="365"/>
    </row>
    <row r="1862" ht="12.75">
      <c r="L1862" s="365"/>
    </row>
    <row r="1863" ht="12.75">
      <c r="L1863" s="365"/>
    </row>
    <row r="1864" ht="12.75">
      <c r="L1864" s="365"/>
    </row>
    <row r="1865" ht="12.75">
      <c r="L1865" s="365"/>
    </row>
    <row r="1866" ht="12.75">
      <c r="L1866" s="365"/>
    </row>
    <row r="1867" ht="12.75">
      <c r="L1867" s="365"/>
    </row>
    <row r="1868" ht="12.75">
      <c r="L1868" s="365"/>
    </row>
    <row r="1869" ht="12.75">
      <c r="L1869" s="365"/>
    </row>
    <row r="1870" ht="12.75">
      <c r="L1870" s="365"/>
    </row>
    <row r="1871" ht="12.75">
      <c r="L1871" s="365"/>
    </row>
    <row r="1872" ht="12.75">
      <c r="L1872" s="365"/>
    </row>
    <row r="1873" ht="12.75">
      <c r="L1873" s="365"/>
    </row>
    <row r="1874" ht="12.75">
      <c r="L1874" s="365"/>
    </row>
    <row r="1875" ht="12.75">
      <c r="L1875" s="365"/>
    </row>
    <row r="1876" ht="12.75">
      <c r="L1876" s="365"/>
    </row>
    <row r="1877" ht="12.75">
      <c r="L1877" s="365"/>
    </row>
    <row r="1878" ht="12.75">
      <c r="L1878" s="365"/>
    </row>
    <row r="1879" ht="12.75">
      <c r="L1879" s="365"/>
    </row>
    <row r="1880" ht="12.75">
      <c r="L1880" s="365"/>
    </row>
    <row r="1881" ht="12.75">
      <c r="L1881" s="365"/>
    </row>
    <row r="1882" ht="12.75">
      <c r="L1882" s="365"/>
    </row>
    <row r="1883" ht="12.75">
      <c r="L1883" s="365"/>
    </row>
    <row r="1884" ht="12.75">
      <c r="L1884" s="365"/>
    </row>
    <row r="1885" ht="12.75">
      <c r="L1885" s="365"/>
    </row>
    <row r="1886" ht="12.75">
      <c r="L1886" s="365"/>
    </row>
    <row r="1887" ht="12.75">
      <c r="L1887" s="365"/>
    </row>
    <row r="1888" ht="12.75">
      <c r="L1888" s="365"/>
    </row>
    <row r="1889" ht="12.75">
      <c r="L1889" s="365"/>
    </row>
    <row r="1890" ht="12.75">
      <c r="L1890" s="365"/>
    </row>
    <row r="1891" ht="12.75">
      <c r="L1891" s="365"/>
    </row>
    <row r="1892" ht="12.75">
      <c r="L1892" s="365"/>
    </row>
    <row r="1893" ht="12.75">
      <c r="L1893" s="365"/>
    </row>
    <row r="1894" ht="12.75">
      <c r="L1894" s="365"/>
    </row>
    <row r="1895" ht="12.75">
      <c r="L1895" s="365"/>
    </row>
    <row r="1896" ht="12.75">
      <c r="L1896" s="365"/>
    </row>
    <row r="1897" ht="12.75">
      <c r="L1897" s="365"/>
    </row>
    <row r="1898" ht="12.75">
      <c r="L1898" s="365"/>
    </row>
    <row r="1899" ht="12.75">
      <c r="L1899" s="365"/>
    </row>
    <row r="1900" ht="12.75">
      <c r="L1900" s="365"/>
    </row>
    <row r="1901" ht="12.75">
      <c r="L1901" s="365"/>
    </row>
    <row r="1902" ht="12.75">
      <c r="L1902" s="365"/>
    </row>
    <row r="1903" ht="12.75">
      <c r="L1903" s="365"/>
    </row>
    <row r="1904" ht="12.75">
      <c r="L1904" s="365"/>
    </row>
    <row r="1905" ht="12.75">
      <c r="L1905" s="365"/>
    </row>
    <row r="1906" ht="12.75">
      <c r="L1906" s="365"/>
    </row>
    <row r="1907" ht="12.75">
      <c r="L1907" s="365"/>
    </row>
    <row r="1908" ht="12.75">
      <c r="L1908" s="365"/>
    </row>
    <row r="1909" ht="12.75">
      <c r="L1909" s="365"/>
    </row>
    <row r="1910" ht="12.75">
      <c r="L1910" s="365"/>
    </row>
    <row r="1911" ht="12.75">
      <c r="L1911" s="365"/>
    </row>
    <row r="1912" ht="12.75">
      <c r="L1912" s="365"/>
    </row>
    <row r="1913" ht="12.75">
      <c r="L1913" s="365"/>
    </row>
    <row r="1914" ht="12.75">
      <c r="L1914" s="365"/>
    </row>
    <row r="1915" ht="12.75">
      <c r="L1915" s="365"/>
    </row>
    <row r="1916" ht="12.75">
      <c r="L1916" s="365"/>
    </row>
    <row r="1917" ht="12.75">
      <c r="L1917" s="365"/>
    </row>
    <row r="1918" ht="12.75">
      <c r="L1918" s="365"/>
    </row>
    <row r="1919" ht="12.75">
      <c r="L1919" s="365"/>
    </row>
    <row r="1920" ht="12.75">
      <c r="L1920" s="365"/>
    </row>
    <row r="1921" ht="12.75">
      <c r="L1921" s="365"/>
    </row>
    <row r="1922" ht="12.75">
      <c r="L1922" s="365"/>
    </row>
    <row r="1923" ht="12.75">
      <c r="L1923" s="365"/>
    </row>
    <row r="1924" ht="12.75">
      <c r="L1924" s="365"/>
    </row>
    <row r="1925" ht="12.75">
      <c r="L1925" s="365"/>
    </row>
    <row r="1926" ht="12.75">
      <c r="L1926" s="365"/>
    </row>
    <row r="1927" ht="12.75">
      <c r="L1927" s="365"/>
    </row>
    <row r="1928" ht="12.75">
      <c r="L1928" s="365"/>
    </row>
    <row r="1929" ht="12.75">
      <c r="L1929" s="365"/>
    </row>
    <row r="1930" ht="12.75">
      <c r="L1930" s="365"/>
    </row>
    <row r="1931" ht="12.75">
      <c r="L1931" s="365"/>
    </row>
    <row r="1932" ht="12.75">
      <c r="L1932" s="365"/>
    </row>
    <row r="1933" ht="12.75">
      <c r="L1933" s="365"/>
    </row>
    <row r="1934" ht="12.75">
      <c r="L1934" s="365"/>
    </row>
    <row r="1935" ht="12.75">
      <c r="L1935" s="365"/>
    </row>
    <row r="1936" ht="12.75">
      <c r="L1936" s="365"/>
    </row>
  </sheetData>
  <autoFilter ref="A4:AW4"/>
  <printOptions/>
  <pageMargins left="0.3937007874015748" right="0.3937007874015748" top="0.3937007874015748" bottom="0.5118110236220472" header="0.5118110236220472" footer="0.31496062992125984"/>
  <pageSetup fitToHeight="0" fitToWidth="1" horizontalDpi="600" verticalDpi="600" orientation="portrait" paperSize="9" scale="73" r:id="rId2"/>
  <headerFooter alignWithMargins="0">
    <oddFooter>&amp;R&amp;8Side &amp;P av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F190"/>
  <sheetViews>
    <sheetView workbookViewId="0" topLeftCell="A1">
      <selection activeCell="B9" sqref="B9"/>
    </sheetView>
  </sheetViews>
  <sheetFormatPr defaultColWidth="11.421875" defaultRowHeight="12.75"/>
  <cols>
    <col min="1" max="1" width="12.00390625" style="3" bestFit="1" customWidth="1"/>
    <col min="2" max="2" width="57.28125" style="3" bestFit="1" customWidth="1"/>
    <col min="3" max="3" width="7.8515625" style="1" customWidth="1"/>
    <col min="4" max="4" width="4.421875" style="1" bestFit="1" customWidth="1"/>
    <col min="5" max="5" width="23.8515625" style="1" bestFit="1" customWidth="1"/>
    <col min="6" max="6" width="5.140625" style="62" bestFit="1" customWidth="1"/>
    <col min="7" max="7" width="6.421875" style="62" bestFit="1" customWidth="1"/>
    <col min="8" max="8" width="7.8515625" style="63" bestFit="1" customWidth="1"/>
    <col min="9" max="9" width="8.421875" style="63" bestFit="1" customWidth="1"/>
    <col min="10" max="10" width="7.8515625" style="63" bestFit="1" customWidth="1"/>
    <col min="11" max="11" width="9.140625" style="63" bestFit="1" customWidth="1"/>
    <col min="12" max="12" width="7.28125" style="63" bestFit="1" customWidth="1"/>
    <col min="13" max="13" width="6.7109375" style="63" bestFit="1" customWidth="1"/>
    <col min="14" max="14" width="7.140625" style="1" bestFit="1" customWidth="1"/>
    <col min="15" max="15" width="11.57421875" style="1" bestFit="1" customWidth="1"/>
    <col min="16" max="16" width="11.421875" style="1" customWidth="1"/>
    <col min="17" max="17" width="5.28125" style="1" bestFit="1" customWidth="1"/>
    <col min="18" max="18" width="6.7109375" style="1" bestFit="1" customWidth="1"/>
    <col min="19" max="19" width="4.140625" style="1" bestFit="1" customWidth="1"/>
    <col min="20" max="20" width="2.7109375" style="1" bestFit="1" customWidth="1"/>
    <col min="21" max="21" width="3.57421875" style="1" bestFit="1" customWidth="1"/>
    <col min="22" max="22" width="31.7109375" style="1" bestFit="1" customWidth="1"/>
    <col min="23" max="24" width="3.7109375" style="1" bestFit="1" customWidth="1"/>
    <col min="25" max="25" width="13.57421875" style="1" bestFit="1" customWidth="1"/>
    <col min="26" max="26" width="14.7109375" style="1" bestFit="1" customWidth="1"/>
    <col min="27" max="27" width="21.28125" style="1" bestFit="1" customWidth="1"/>
    <col min="28" max="28" width="31.7109375" style="1" bestFit="1" customWidth="1"/>
    <col min="29" max="16384" width="11.421875" style="1" customWidth="1"/>
  </cols>
  <sheetData>
    <row r="3" spans="17:32" ht="12.75">
      <c r="Q3" s="397" t="s">
        <v>915</v>
      </c>
      <c r="R3" s="397" t="s">
        <v>916</v>
      </c>
      <c r="S3" s="397" t="s">
        <v>917</v>
      </c>
      <c r="T3" s="397" t="s">
        <v>612</v>
      </c>
      <c r="U3" s="397" t="s">
        <v>493</v>
      </c>
      <c r="V3" s="397" t="s">
        <v>918</v>
      </c>
      <c r="W3" s="397" t="s">
        <v>919</v>
      </c>
      <c r="X3" s="397" t="s">
        <v>920</v>
      </c>
      <c r="Y3" s="397" t="s">
        <v>492</v>
      </c>
      <c r="Z3" s="397" t="s">
        <v>921</v>
      </c>
      <c r="AA3" s="397" t="s">
        <v>922</v>
      </c>
      <c r="AB3" s="397" t="s">
        <v>923</v>
      </c>
      <c r="AC3" s="397" t="s">
        <v>924</v>
      </c>
      <c r="AD3" s="397" t="s">
        <v>25</v>
      </c>
      <c r="AE3" s="397" t="s">
        <v>595</v>
      </c>
      <c r="AF3" s="397">
        <v>4169</v>
      </c>
    </row>
    <row r="4" spans="1:31" s="92" customFormat="1" ht="12.75">
      <c r="A4" s="396" t="s">
        <v>11</v>
      </c>
      <c r="B4" s="396" t="s">
        <v>12</v>
      </c>
      <c r="D4" s="421" t="s">
        <v>541</v>
      </c>
      <c r="E4" s="421" t="s">
        <v>542</v>
      </c>
      <c r="F4" s="422" t="s">
        <v>543</v>
      </c>
      <c r="G4" s="422" t="s">
        <v>544</v>
      </c>
      <c r="H4" s="423" t="s">
        <v>461</v>
      </c>
      <c r="I4" s="423" t="s">
        <v>457</v>
      </c>
      <c r="J4" s="423" t="s">
        <v>545</v>
      </c>
      <c r="K4" s="423" t="s">
        <v>546</v>
      </c>
      <c r="L4" s="423" t="s">
        <v>547</v>
      </c>
      <c r="M4" s="423" t="s">
        <v>548</v>
      </c>
      <c r="N4" s="421" t="s">
        <v>549</v>
      </c>
      <c r="O4" s="421" t="s">
        <v>550</v>
      </c>
      <c r="Q4" s="1" t="s">
        <v>597</v>
      </c>
      <c r="R4" s="1" t="s">
        <v>616</v>
      </c>
      <c r="S4" s="1" t="s">
        <v>910</v>
      </c>
      <c r="T4" s="1">
        <v>1</v>
      </c>
      <c r="U4" s="1">
        <v>4</v>
      </c>
      <c r="V4" s="1" t="s">
        <v>523</v>
      </c>
      <c r="W4" s="1">
        <v>10</v>
      </c>
      <c r="X4" s="1">
        <v>110</v>
      </c>
      <c r="Y4" s="1" t="s">
        <v>597</v>
      </c>
      <c r="Z4" s="1" t="s">
        <v>925</v>
      </c>
      <c r="AA4" s="1" t="s">
        <v>509</v>
      </c>
      <c r="AB4" s="1" t="s">
        <v>926</v>
      </c>
      <c r="AC4" s="92" t="s">
        <v>523</v>
      </c>
      <c r="AD4" s="92">
        <v>44926</v>
      </c>
      <c r="AE4" s="92">
        <v>44926</v>
      </c>
    </row>
    <row r="5" spans="1:32" ht="12.75">
      <c r="A5" s="3" t="s">
        <v>13</v>
      </c>
      <c r="B5" s="3">
        <v>202212</v>
      </c>
      <c r="D5" s="1" t="s">
        <v>982</v>
      </c>
      <c r="E5" s="1" t="s">
        <v>983</v>
      </c>
      <c r="F5" s="62">
        <v>0</v>
      </c>
      <c r="G5" s="62">
        <v>0</v>
      </c>
      <c r="H5" s="63">
        <v>1833865.73</v>
      </c>
      <c r="I5" s="63">
        <v>-9529276.17</v>
      </c>
      <c r="J5" s="63">
        <v>5622070.09</v>
      </c>
      <c r="K5" s="63">
        <v>0</v>
      </c>
      <c r="L5" s="63">
        <v>0</v>
      </c>
      <c r="M5" s="63">
        <v>0</v>
      </c>
      <c r="N5" s="1" t="s">
        <v>551</v>
      </c>
      <c r="O5" s="1" t="s">
        <v>552</v>
      </c>
      <c r="Q5" s="1" t="s">
        <v>596</v>
      </c>
      <c r="R5" s="1" t="s">
        <v>616</v>
      </c>
      <c r="S5" s="1" t="s">
        <v>910</v>
      </c>
      <c r="T5" s="1">
        <v>1</v>
      </c>
      <c r="U5" s="1">
        <v>5</v>
      </c>
      <c r="V5" s="1" t="s">
        <v>524</v>
      </c>
      <c r="W5" s="1">
        <v>10</v>
      </c>
      <c r="X5" s="1">
        <v>110</v>
      </c>
      <c r="Y5" s="1" t="s">
        <v>596</v>
      </c>
      <c r="Z5" s="1" t="s">
        <v>925</v>
      </c>
      <c r="AA5" s="1" t="s">
        <v>509</v>
      </c>
      <c r="AB5" s="1" t="s">
        <v>926</v>
      </c>
      <c r="AC5" s="1" t="s">
        <v>524</v>
      </c>
      <c r="AD5" s="1">
        <v>44926</v>
      </c>
      <c r="AE5" s="1">
        <v>44926</v>
      </c>
      <c r="AF5" s="1">
        <v>44926</v>
      </c>
    </row>
    <row r="6" spans="1:32" ht="12.75">
      <c r="A6" s="3" t="s">
        <v>14</v>
      </c>
      <c r="B6" s="3">
        <v>202212</v>
      </c>
      <c r="Q6" s="1" t="s">
        <v>599</v>
      </c>
      <c r="R6" s="1" t="s">
        <v>616</v>
      </c>
      <c r="S6" s="1" t="s">
        <v>910</v>
      </c>
      <c r="T6" s="1">
        <v>1</v>
      </c>
      <c r="U6" s="1">
        <v>6</v>
      </c>
      <c r="V6" s="1" t="s">
        <v>525</v>
      </c>
      <c r="W6" s="1">
        <v>10</v>
      </c>
      <c r="X6" s="1">
        <v>110</v>
      </c>
      <c r="Y6" s="1" t="s">
        <v>599</v>
      </c>
      <c r="Z6" s="1" t="s">
        <v>925</v>
      </c>
      <c r="AA6" s="1" t="s">
        <v>509</v>
      </c>
      <c r="AB6" s="1" t="s">
        <v>926</v>
      </c>
      <c r="AC6" s="1" t="s">
        <v>525</v>
      </c>
      <c r="AD6" s="1">
        <v>44926</v>
      </c>
      <c r="AE6" s="1">
        <v>44926</v>
      </c>
      <c r="AF6" s="1">
        <v>44926</v>
      </c>
    </row>
    <row r="7" spans="1:31" ht="12.75">
      <c r="A7" s="3" t="s">
        <v>141</v>
      </c>
      <c r="B7" s="3" t="s">
        <v>970</v>
      </c>
      <c r="Q7" s="1" t="s">
        <v>598</v>
      </c>
      <c r="R7" s="1" t="s">
        <v>616</v>
      </c>
      <c r="S7" s="1" t="s">
        <v>910</v>
      </c>
      <c r="T7" s="1">
        <v>1</v>
      </c>
      <c r="U7" s="1">
        <v>7</v>
      </c>
      <c r="V7" s="1" t="s">
        <v>526</v>
      </c>
      <c r="W7" s="1">
        <v>10</v>
      </c>
      <c r="X7" s="1">
        <v>110</v>
      </c>
      <c r="Y7" s="1" t="s">
        <v>598</v>
      </c>
      <c r="Z7" s="1" t="s">
        <v>925</v>
      </c>
      <c r="AA7" s="1" t="s">
        <v>509</v>
      </c>
      <c r="AB7" s="1" t="s">
        <v>926</v>
      </c>
      <c r="AC7" s="1" t="s">
        <v>526</v>
      </c>
      <c r="AD7" s="1">
        <v>44926</v>
      </c>
      <c r="AE7" s="1">
        <v>44926</v>
      </c>
    </row>
    <row r="8" spans="1:32" ht="12.75">
      <c r="A8" s="3" t="s">
        <v>142</v>
      </c>
      <c r="B8" s="3" t="s">
        <v>971</v>
      </c>
      <c r="Q8" s="1" t="s">
        <v>600</v>
      </c>
      <c r="R8" s="1" t="s">
        <v>616</v>
      </c>
      <c r="S8" s="1" t="s">
        <v>910</v>
      </c>
      <c r="T8" s="1">
        <v>1</v>
      </c>
      <c r="U8" s="1">
        <v>8</v>
      </c>
      <c r="V8" s="1" t="s">
        <v>527</v>
      </c>
      <c r="W8" s="1">
        <v>10</v>
      </c>
      <c r="X8" s="1">
        <v>110</v>
      </c>
      <c r="Y8" s="1" t="s">
        <v>600</v>
      </c>
      <c r="Z8" s="1" t="s">
        <v>925</v>
      </c>
      <c r="AA8" s="1" t="s">
        <v>509</v>
      </c>
      <c r="AB8" s="1" t="s">
        <v>926</v>
      </c>
      <c r="AC8" s="1" t="s">
        <v>527</v>
      </c>
      <c r="AD8" s="1">
        <v>44926</v>
      </c>
      <c r="AE8" s="1">
        <v>44926</v>
      </c>
      <c r="AF8" s="1">
        <v>44926</v>
      </c>
    </row>
    <row r="9" spans="1:27" ht="12.75">
      <c r="A9" s="3" t="s">
        <v>143</v>
      </c>
      <c r="B9" s="3" t="s">
        <v>972</v>
      </c>
      <c r="Q9" s="1" t="s">
        <v>604</v>
      </c>
      <c r="R9" s="1" t="s">
        <v>617</v>
      </c>
      <c r="S9" s="1" t="s">
        <v>910</v>
      </c>
      <c r="T9" s="1">
        <v>3</v>
      </c>
      <c r="U9" s="1">
        <v>9</v>
      </c>
      <c r="V9" s="1" t="s">
        <v>509</v>
      </c>
      <c r="W9" s="1">
        <v>10</v>
      </c>
      <c r="Y9" s="1" t="s">
        <v>1183</v>
      </c>
      <c r="Z9" s="1" t="s">
        <v>925</v>
      </c>
      <c r="AA9" s="1" t="s">
        <v>509</v>
      </c>
    </row>
    <row r="10" spans="1:32" ht="12.75">
      <c r="A10" s="3" t="s">
        <v>213</v>
      </c>
      <c r="B10" s="3" t="s">
        <v>124</v>
      </c>
      <c r="Q10" s="1" t="s">
        <v>676</v>
      </c>
      <c r="R10" s="1" t="s">
        <v>616</v>
      </c>
      <c r="S10" s="1" t="s">
        <v>910</v>
      </c>
      <c r="T10" s="1">
        <v>1</v>
      </c>
      <c r="U10" s="1">
        <v>10</v>
      </c>
      <c r="V10" s="1" t="s">
        <v>1602</v>
      </c>
      <c r="W10" s="1">
        <v>40</v>
      </c>
      <c r="X10" s="1">
        <v>120</v>
      </c>
      <c r="Y10" s="1" t="s">
        <v>676</v>
      </c>
      <c r="Z10" s="1" t="s">
        <v>925</v>
      </c>
      <c r="AA10" s="1" t="s">
        <v>927</v>
      </c>
      <c r="AB10" s="1" t="s">
        <v>510</v>
      </c>
      <c r="AC10" s="1" t="s">
        <v>1602</v>
      </c>
      <c r="AD10" s="1">
        <v>44561</v>
      </c>
      <c r="AE10" s="1">
        <v>44561</v>
      </c>
      <c r="AF10" s="1">
        <v>44561</v>
      </c>
    </row>
    <row r="11" spans="1:32" ht="12.75">
      <c r="A11" s="3" t="s">
        <v>15</v>
      </c>
      <c r="B11" s="3" t="s">
        <v>973</v>
      </c>
      <c r="Q11" s="1" t="s">
        <v>1048</v>
      </c>
      <c r="R11" s="1" t="s">
        <v>616</v>
      </c>
      <c r="S11" s="1" t="s">
        <v>910</v>
      </c>
      <c r="T11" s="1">
        <v>1</v>
      </c>
      <c r="U11" s="1">
        <v>11</v>
      </c>
      <c r="V11" s="1" t="s">
        <v>1603</v>
      </c>
      <c r="W11" s="1">
        <v>40</v>
      </c>
      <c r="X11" s="1">
        <v>120</v>
      </c>
      <c r="Y11" s="1" t="s">
        <v>1048</v>
      </c>
      <c r="Z11" s="1" t="s">
        <v>925</v>
      </c>
      <c r="AA11" s="1" t="s">
        <v>927</v>
      </c>
      <c r="AB11" s="1" t="s">
        <v>510</v>
      </c>
      <c r="AC11" s="1" t="s">
        <v>1603</v>
      </c>
      <c r="AD11" s="1">
        <v>44561</v>
      </c>
      <c r="AE11" s="1">
        <v>44561</v>
      </c>
      <c r="AF11" s="1">
        <v>44561</v>
      </c>
    </row>
    <row r="12" spans="1:32" ht="12.75">
      <c r="A12" s="3" t="s">
        <v>16</v>
      </c>
      <c r="B12" s="3" t="s">
        <v>974</v>
      </c>
      <c r="Q12" s="1" t="s">
        <v>780</v>
      </c>
      <c r="R12" s="1" t="s">
        <v>616</v>
      </c>
      <c r="S12" s="1" t="s">
        <v>910</v>
      </c>
      <c r="T12" s="1">
        <v>1</v>
      </c>
      <c r="U12" s="1">
        <v>12</v>
      </c>
      <c r="V12" s="1" t="s">
        <v>1604</v>
      </c>
      <c r="W12" s="1">
        <v>40</v>
      </c>
      <c r="X12" s="1">
        <v>120</v>
      </c>
      <c r="Y12" s="1" t="s">
        <v>780</v>
      </c>
      <c r="Z12" s="1" t="s">
        <v>925</v>
      </c>
      <c r="AA12" s="1" t="s">
        <v>927</v>
      </c>
      <c r="AB12" s="1" t="s">
        <v>510</v>
      </c>
      <c r="AC12" s="1" t="s">
        <v>1604</v>
      </c>
      <c r="AD12" s="1">
        <v>44561</v>
      </c>
      <c r="AE12" s="1">
        <v>44561</v>
      </c>
      <c r="AF12" s="1">
        <v>44561</v>
      </c>
    </row>
    <row r="13" spans="1:29" ht="12.75">
      <c r="A13" s="3" t="s">
        <v>17</v>
      </c>
      <c r="B13" s="3">
        <v>20015</v>
      </c>
      <c r="Q13" s="1" t="s">
        <v>1295</v>
      </c>
      <c r="R13" s="1" t="s">
        <v>616</v>
      </c>
      <c r="S13" s="1" t="s">
        <v>910</v>
      </c>
      <c r="T13" s="1">
        <v>1</v>
      </c>
      <c r="U13" s="1">
        <v>13</v>
      </c>
      <c r="V13" s="1" t="s">
        <v>1605</v>
      </c>
      <c r="W13" s="1">
        <v>40</v>
      </c>
      <c r="X13" s="1">
        <v>120</v>
      </c>
      <c r="Y13" s="1" t="s">
        <v>1295</v>
      </c>
      <c r="Z13" s="1" t="s">
        <v>925</v>
      </c>
      <c r="AA13" s="1" t="s">
        <v>927</v>
      </c>
      <c r="AB13" s="1" t="s">
        <v>510</v>
      </c>
      <c r="AC13" s="1" t="s">
        <v>1605</v>
      </c>
    </row>
    <row r="14" spans="1:32" ht="12.75">
      <c r="A14" s="3" t="s">
        <v>18</v>
      </c>
      <c r="B14" s="3">
        <v>83441</v>
      </c>
      <c r="Q14" s="1" t="s">
        <v>678</v>
      </c>
      <c r="R14" s="1" t="s">
        <v>616</v>
      </c>
      <c r="S14" s="1" t="s">
        <v>910</v>
      </c>
      <c r="T14" s="1">
        <v>1</v>
      </c>
      <c r="U14" s="1">
        <v>14</v>
      </c>
      <c r="V14" s="1" t="s">
        <v>618</v>
      </c>
      <c r="W14" s="1">
        <v>40</v>
      </c>
      <c r="X14" s="1">
        <v>120</v>
      </c>
      <c r="Y14" s="1" t="s">
        <v>678</v>
      </c>
      <c r="Z14" s="1" t="s">
        <v>925</v>
      </c>
      <c r="AA14" s="1" t="s">
        <v>927</v>
      </c>
      <c r="AB14" s="1" t="s">
        <v>510</v>
      </c>
      <c r="AC14" s="1" t="s">
        <v>618</v>
      </c>
      <c r="AD14" s="1">
        <v>44926</v>
      </c>
      <c r="AE14" s="1">
        <v>44926</v>
      </c>
      <c r="AF14" s="1">
        <v>44926</v>
      </c>
    </row>
    <row r="15" spans="1:32" ht="12.75">
      <c r="A15" s="3" t="s">
        <v>19</v>
      </c>
      <c r="B15" s="3" t="s">
        <v>975</v>
      </c>
      <c r="Q15" s="1" t="s">
        <v>681</v>
      </c>
      <c r="R15" s="1" t="s">
        <v>616</v>
      </c>
      <c r="S15" s="1" t="s">
        <v>910</v>
      </c>
      <c r="T15" s="1">
        <v>1</v>
      </c>
      <c r="U15" s="1">
        <v>15</v>
      </c>
      <c r="V15" s="1" t="s">
        <v>619</v>
      </c>
      <c r="W15" s="1">
        <v>40</v>
      </c>
      <c r="X15" s="1">
        <v>120</v>
      </c>
      <c r="Y15" s="1" t="s">
        <v>681</v>
      </c>
      <c r="Z15" s="1" t="s">
        <v>925</v>
      </c>
      <c r="AA15" s="1" t="s">
        <v>927</v>
      </c>
      <c r="AB15" s="1" t="s">
        <v>510</v>
      </c>
      <c r="AC15" s="1" t="s">
        <v>619</v>
      </c>
      <c r="AD15" s="1">
        <v>44926</v>
      </c>
      <c r="AE15" s="1">
        <v>44926</v>
      </c>
      <c r="AF15" s="1">
        <v>44926</v>
      </c>
    </row>
    <row r="16" spans="1:32" ht="12.75">
      <c r="A16" s="3" t="s">
        <v>21</v>
      </c>
      <c r="B16" s="3" t="s">
        <v>976</v>
      </c>
      <c r="Q16" s="1" t="s">
        <v>683</v>
      </c>
      <c r="R16" s="1" t="s">
        <v>616</v>
      </c>
      <c r="S16" s="1" t="s">
        <v>910</v>
      </c>
      <c r="T16" s="1">
        <v>1</v>
      </c>
      <c r="U16" s="1">
        <v>16</v>
      </c>
      <c r="V16" s="1" t="s">
        <v>620</v>
      </c>
      <c r="W16" s="1">
        <v>40</v>
      </c>
      <c r="X16" s="1">
        <v>120</v>
      </c>
      <c r="Y16" s="1" t="s">
        <v>683</v>
      </c>
      <c r="Z16" s="1" t="s">
        <v>925</v>
      </c>
      <c r="AA16" s="1" t="s">
        <v>927</v>
      </c>
      <c r="AB16" s="1" t="s">
        <v>510</v>
      </c>
      <c r="AC16" s="1" t="s">
        <v>620</v>
      </c>
      <c r="AD16" s="1">
        <v>44926</v>
      </c>
      <c r="AE16" s="1">
        <v>44926</v>
      </c>
      <c r="AF16" s="1">
        <v>44926</v>
      </c>
    </row>
    <row r="17" spans="1:32" ht="12.75">
      <c r="A17" s="3" t="s">
        <v>22</v>
      </c>
      <c r="B17" s="3" t="s">
        <v>977</v>
      </c>
      <c r="Q17" s="1" t="s">
        <v>685</v>
      </c>
      <c r="R17" s="1" t="s">
        <v>616</v>
      </c>
      <c r="S17" s="1" t="s">
        <v>910</v>
      </c>
      <c r="T17" s="1">
        <v>1</v>
      </c>
      <c r="U17" s="1">
        <v>17</v>
      </c>
      <c r="V17" s="1" t="s">
        <v>621</v>
      </c>
      <c r="W17" s="1">
        <v>40</v>
      </c>
      <c r="X17" s="1">
        <v>120</v>
      </c>
      <c r="Y17" s="1" t="s">
        <v>685</v>
      </c>
      <c r="Z17" s="1" t="s">
        <v>925</v>
      </c>
      <c r="AA17" s="1" t="s">
        <v>927</v>
      </c>
      <c r="AB17" s="1" t="s">
        <v>510</v>
      </c>
      <c r="AC17" s="1" t="s">
        <v>621</v>
      </c>
      <c r="AD17" s="1">
        <v>44926</v>
      </c>
      <c r="AE17" s="1">
        <v>44926</v>
      </c>
      <c r="AF17" s="1">
        <v>44926</v>
      </c>
    </row>
    <row r="18" spans="1:32" ht="12.75">
      <c r="A18" s="3" t="s">
        <v>24</v>
      </c>
      <c r="B18" s="3" t="s">
        <v>23</v>
      </c>
      <c r="Q18" s="1" t="s">
        <v>687</v>
      </c>
      <c r="R18" s="1" t="s">
        <v>616</v>
      </c>
      <c r="S18" s="1" t="s">
        <v>910</v>
      </c>
      <c r="T18" s="1">
        <v>1</v>
      </c>
      <c r="U18" s="1">
        <v>18</v>
      </c>
      <c r="V18" s="1" t="s">
        <v>622</v>
      </c>
      <c r="W18" s="1">
        <v>40</v>
      </c>
      <c r="X18" s="1">
        <v>120</v>
      </c>
      <c r="Y18" s="1" t="s">
        <v>687</v>
      </c>
      <c r="Z18" s="1" t="s">
        <v>925</v>
      </c>
      <c r="AA18" s="1" t="s">
        <v>927</v>
      </c>
      <c r="AB18" s="1" t="s">
        <v>510</v>
      </c>
      <c r="AC18" s="1" t="s">
        <v>622</v>
      </c>
      <c r="AD18" s="1">
        <v>44926</v>
      </c>
      <c r="AE18" s="1">
        <v>44926</v>
      </c>
      <c r="AF18" s="1">
        <v>44926</v>
      </c>
    </row>
    <row r="19" spans="1:32" ht="12.75">
      <c r="A19" s="3" t="s">
        <v>27</v>
      </c>
      <c r="B19" s="3" t="s">
        <v>23</v>
      </c>
      <c r="Q19" s="1" t="s">
        <v>689</v>
      </c>
      <c r="R19" s="1" t="s">
        <v>616</v>
      </c>
      <c r="S19" s="1" t="s">
        <v>910</v>
      </c>
      <c r="T19" s="1">
        <v>1</v>
      </c>
      <c r="U19" s="1">
        <v>19</v>
      </c>
      <c r="V19" s="1" t="s">
        <v>623</v>
      </c>
      <c r="W19" s="1">
        <v>40</v>
      </c>
      <c r="X19" s="1">
        <v>120</v>
      </c>
      <c r="Y19" s="1" t="s">
        <v>689</v>
      </c>
      <c r="Z19" s="1" t="s">
        <v>925</v>
      </c>
      <c r="AA19" s="1" t="s">
        <v>927</v>
      </c>
      <c r="AB19" s="1" t="s">
        <v>510</v>
      </c>
      <c r="AC19" s="1" t="s">
        <v>623</v>
      </c>
      <c r="AD19" s="1">
        <v>44926</v>
      </c>
      <c r="AE19" s="1">
        <v>44926</v>
      </c>
      <c r="AF19" s="1">
        <v>44926</v>
      </c>
    </row>
    <row r="20" spans="1:32" ht="12.75">
      <c r="A20" s="3" t="s">
        <v>28</v>
      </c>
      <c r="B20" s="3" t="s">
        <v>978</v>
      </c>
      <c r="Q20" s="1" t="s">
        <v>885</v>
      </c>
      <c r="R20" s="1" t="s">
        <v>616</v>
      </c>
      <c r="S20" s="1" t="s">
        <v>910</v>
      </c>
      <c r="T20" s="1">
        <v>1</v>
      </c>
      <c r="U20" s="1">
        <v>20</v>
      </c>
      <c r="V20" s="1" t="s">
        <v>1606</v>
      </c>
      <c r="W20" s="1">
        <v>40</v>
      </c>
      <c r="X20" s="1">
        <v>120</v>
      </c>
      <c r="Y20" s="1" t="s">
        <v>885</v>
      </c>
      <c r="Z20" s="1" t="s">
        <v>925</v>
      </c>
      <c r="AA20" s="1" t="s">
        <v>927</v>
      </c>
      <c r="AB20" s="1" t="s">
        <v>510</v>
      </c>
      <c r="AC20" s="1" t="s">
        <v>1606</v>
      </c>
      <c r="AD20" s="1">
        <v>44926</v>
      </c>
      <c r="AE20" s="1">
        <v>44926</v>
      </c>
      <c r="AF20" s="1">
        <v>44926</v>
      </c>
    </row>
    <row r="21" spans="1:32" ht="12.75">
      <c r="A21" s="3" t="s">
        <v>29</v>
      </c>
      <c r="B21" s="3" t="s">
        <v>979</v>
      </c>
      <c r="Q21" s="1" t="s">
        <v>691</v>
      </c>
      <c r="R21" s="1" t="s">
        <v>616</v>
      </c>
      <c r="S21" s="1" t="s">
        <v>910</v>
      </c>
      <c r="T21" s="1">
        <v>1</v>
      </c>
      <c r="U21" s="1">
        <v>21</v>
      </c>
      <c r="V21" s="1" t="s">
        <v>624</v>
      </c>
      <c r="W21" s="1">
        <v>40</v>
      </c>
      <c r="X21" s="1">
        <v>120</v>
      </c>
      <c r="Y21" s="1" t="s">
        <v>691</v>
      </c>
      <c r="Z21" s="1" t="s">
        <v>925</v>
      </c>
      <c r="AA21" s="1" t="s">
        <v>927</v>
      </c>
      <c r="AB21" s="1" t="s">
        <v>510</v>
      </c>
      <c r="AC21" s="1" t="s">
        <v>624</v>
      </c>
      <c r="AD21" s="1">
        <v>44926</v>
      </c>
      <c r="AE21" s="1">
        <v>44926</v>
      </c>
      <c r="AF21" s="1">
        <v>44926</v>
      </c>
    </row>
    <row r="22" spans="1:32" ht="12.75">
      <c r="A22" s="3" t="s">
        <v>30</v>
      </c>
      <c r="B22" s="3" t="s">
        <v>980</v>
      </c>
      <c r="Q22" s="1" t="s">
        <v>693</v>
      </c>
      <c r="R22" s="1" t="s">
        <v>616</v>
      </c>
      <c r="S22" s="1" t="s">
        <v>910</v>
      </c>
      <c r="T22" s="1">
        <v>1</v>
      </c>
      <c r="U22" s="1">
        <v>22</v>
      </c>
      <c r="V22" s="1" t="s">
        <v>626</v>
      </c>
      <c r="W22" s="1">
        <v>40</v>
      </c>
      <c r="X22" s="1">
        <v>120</v>
      </c>
      <c r="Y22" s="1" t="s">
        <v>693</v>
      </c>
      <c r="Z22" s="1" t="s">
        <v>925</v>
      </c>
      <c r="AA22" s="1" t="s">
        <v>927</v>
      </c>
      <c r="AB22" s="1" t="s">
        <v>510</v>
      </c>
      <c r="AC22" s="1" t="s">
        <v>626</v>
      </c>
      <c r="AD22" s="1">
        <v>44926</v>
      </c>
      <c r="AE22" s="1">
        <v>44926</v>
      </c>
      <c r="AF22" s="1">
        <v>44926</v>
      </c>
    </row>
    <row r="23" spans="1:32" ht="12.75">
      <c r="A23" s="3" t="s">
        <v>31</v>
      </c>
      <c r="B23" s="3" t="s">
        <v>981</v>
      </c>
      <c r="Q23" s="1" t="s">
        <v>695</v>
      </c>
      <c r="R23" s="1" t="s">
        <v>616</v>
      </c>
      <c r="S23" s="1" t="s">
        <v>910</v>
      </c>
      <c r="T23" s="1">
        <v>1</v>
      </c>
      <c r="U23" s="1">
        <v>23</v>
      </c>
      <c r="V23" s="1" t="s">
        <v>625</v>
      </c>
      <c r="W23" s="1">
        <v>40</v>
      </c>
      <c r="X23" s="1">
        <v>120</v>
      </c>
      <c r="Y23" s="1" t="s">
        <v>695</v>
      </c>
      <c r="Z23" s="1" t="s">
        <v>925</v>
      </c>
      <c r="AA23" s="1" t="s">
        <v>927</v>
      </c>
      <c r="AB23" s="1" t="s">
        <v>510</v>
      </c>
      <c r="AC23" s="1" t="s">
        <v>625</v>
      </c>
      <c r="AD23" s="1">
        <v>44926</v>
      </c>
      <c r="AE23" s="1">
        <v>44926</v>
      </c>
      <c r="AF23" s="1">
        <v>44926</v>
      </c>
    </row>
    <row r="24" spans="17:32" ht="12.75">
      <c r="Q24" s="1" t="s">
        <v>1607</v>
      </c>
      <c r="R24" s="1" t="s">
        <v>627</v>
      </c>
      <c r="S24" s="1" t="s">
        <v>910</v>
      </c>
      <c r="T24" s="1">
        <v>2</v>
      </c>
      <c r="U24" s="1">
        <v>24</v>
      </c>
      <c r="V24" s="1" t="s">
        <v>510</v>
      </c>
      <c r="W24" s="1">
        <v>40</v>
      </c>
      <c r="X24" s="1">
        <v>120</v>
      </c>
      <c r="Y24" s="1" t="s">
        <v>1183</v>
      </c>
      <c r="Z24" s="1" t="s">
        <v>925</v>
      </c>
      <c r="AA24" s="1" t="s">
        <v>927</v>
      </c>
      <c r="AB24" s="1" t="s">
        <v>510</v>
      </c>
      <c r="AD24" s="1">
        <v>44561</v>
      </c>
      <c r="AE24" s="1">
        <v>44561</v>
      </c>
      <c r="AF24" s="1">
        <v>44561</v>
      </c>
    </row>
    <row r="25" spans="17:32" ht="12.75">
      <c r="Q25" s="1" t="s">
        <v>772</v>
      </c>
      <c r="R25" s="1" t="s">
        <v>616</v>
      </c>
      <c r="S25" s="1" t="s">
        <v>910</v>
      </c>
      <c r="T25" s="1">
        <v>1</v>
      </c>
      <c r="U25" s="1">
        <v>25</v>
      </c>
      <c r="V25" s="1" t="s">
        <v>1608</v>
      </c>
      <c r="W25" s="1">
        <v>40</v>
      </c>
      <c r="X25" s="1">
        <v>130</v>
      </c>
      <c r="Y25" s="1" t="s">
        <v>772</v>
      </c>
      <c r="Z25" s="1" t="s">
        <v>925</v>
      </c>
      <c r="AA25" s="1" t="s">
        <v>927</v>
      </c>
      <c r="AB25" s="1" t="s">
        <v>511</v>
      </c>
      <c r="AC25" s="1" t="s">
        <v>1608</v>
      </c>
      <c r="AD25" s="1">
        <v>44561</v>
      </c>
      <c r="AE25" s="1">
        <v>44561</v>
      </c>
      <c r="AF25" s="1">
        <v>44561</v>
      </c>
    </row>
    <row r="26" spans="17:32" ht="12.75">
      <c r="Q26" s="1" t="s">
        <v>697</v>
      </c>
      <c r="R26" s="1" t="s">
        <v>616</v>
      </c>
      <c r="S26" s="1" t="s">
        <v>910</v>
      </c>
      <c r="T26" s="1">
        <v>1</v>
      </c>
      <c r="U26" s="1">
        <v>26</v>
      </c>
      <c r="V26" s="1" t="s">
        <v>628</v>
      </c>
      <c r="W26" s="1">
        <v>40</v>
      </c>
      <c r="X26" s="1">
        <v>130</v>
      </c>
      <c r="Y26" s="1" t="s">
        <v>697</v>
      </c>
      <c r="Z26" s="1" t="s">
        <v>925</v>
      </c>
      <c r="AA26" s="1" t="s">
        <v>927</v>
      </c>
      <c r="AB26" s="1" t="s">
        <v>511</v>
      </c>
      <c r="AC26" s="1" t="s">
        <v>628</v>
      </c>
      <c r="AD26" s="1">
        <v>44926</v>
      </c>
      <c r="AE26" s="1">
        <v>44926</v>
      </c>
      <c r="AF26" s="1">
        <v>44926</v>
      </c>
    </row>
    <row r="27" spans="17:32" ht="12.75">
      <c r="Q27" s="1" t="s">
        <v>699</v>
      </c>
      <c r="R27" s="1" t="s">
        <v>616</v>
      </c>
      <c r="S27" s="1" t="s">
        <v>910</v>
      </c>
      <c r="T27" s="1">
        <v>1</v>
      </c>
      <c r="U27" s="1">
        <v>27</v>
      </c>
      <c r="V27" s="1" t="s">
        <v>629</v>
      </c>
      <c r="W27" s="1">
        <v>40</v>
      </c>
      <c r="X27" s="1">
        <v>130</v>
      </c>
      <c r="Y27" s="1" t="s">
        <v>699</v>
      </c>
      <c r="Z27" s="1" t="s">
        <v>925</v>
      </c>
      <c r="AA27" s="1" t="s">
        <v>927</v>
      </c>
      <c r="AB27" s="1" t="s">
        <v>511</v>
      </c>
      <c r="AC27" s="1" t="s">
        <v>629</v>
      </c>
      <c r="AD27" s="1">
        <v>44926</v>
      </c>
      <c r="AE27" s="1">
        <v>44926</v>
      </c>
      <c r="AF27" s="1">
        <v>44926</v>
      </c>
    </row>
    <row r="28" spans="17:32" ht="12.75">
      <c r="Q28" s="1" t="s">
        <v>701</v>
      </c>
      <c r="R28" s="1" t="s">
        <v>616</v>
      </c>
      <c r="S28" s="1" t="s">
        <v>910</v>
      </c>
      <c r="T28" s="1">
        <v>1</v>
      </c>
      <c r="U28" s="1">
        <v>28</v>
      </c>
      <c r="V28" s="1" t="s">
        <v>630</v>
      </c>
      <c r="W28" s="1">
        <v>40</v>
      </c>
      <c r="X28" s="1">
        <v>130</v>
      </c>
      <c r="Y28" s="1" t="s">
        <v>701</v>
      </c>
      <c r="Z28" s="1" t="s">
        <v>925</v>
      </c>
      <c r="AA28" s="1" t="s">
        <v>927</v>
      </c>
      <c r="AB28" s="1" t="s">
        <v>511</v>
      </c>
      <c r="AC28" s="1" t="s">
        <v>630</v>
      </c>
      <c r="AD28" s="1">
        <v>44926</v>
      </c>
      <c r="AE28" s="1">
        <v>44926</v>
      </c>
      <c r="AF28" s="1">
        <v>44926</v>
      </c>
    </row>
    <row r="29" spans="17:32" ht="12.75">
      <c r="Q29" s="1" t="s">
        <v>1609</v>
      </c>
      <c r="R29" s="1" t="s">
        <v>627</v>
      </c>
      <c r="S29" s="1" t="s">
        <v>910</v>
      </c>
      <c r="T29" s="1">
        <v>2</v>
      </c>
      <c r="U29" s="1">
        <v>29</v>
      </c>
      <c r="V29" s="1" t="s">
        <v>511</v>
      </c>
      <c r="W29" s="1">
        <v>40</v>
      </c>
      <c r="X29" s="1">
        <v>130</v>
      </c>
      <c r="Y29" s="1" t="s">
        <v>1183</v>
      </c>
      <c r="Z29" s="1" t="s">
        <v>925</v>
      </c>
      <c r="AA29" s="1" t="s">
        <v>927</v>
      </c>
      <c r="AB29" s="1" t="s">
        <v>511</v>
      </c>
      <c r="AD29" s="1">
        <v>44561</v>
      </c>
      <c r="AE29" s="1">
        <v>44561</v>
      </c>
      <c r="AF29" s="1">
        <v>44561</v>
      </c>
    </row>
    <row r="30" spans="17:32" ht="12.75">
      <c r="Q30" s="1" t="s">
        <v>795</v>
      </c>
      <c r="R30" s="1" t="s">
        <v>616</v>
      </c>
      <c r="S30" s="1" t="s">
        <v>910</v>
      </c>
      <c r="T30" s="1">
        <v>1</v>
      </c>
      <c r="U30" s="1">
        <v>30</v>
      </c>
      <c r="V30" s="1" t="s">
        <v>528</v>
      </c>
      <c r="W30" s="1">
        <v>40</v>
      </c>
      <c r="X30" s="1">
        <v>140</v>
      </c>
      <c r="Y30" s="1" t="s">
        <v>795</v>
      </c>
      <c r="Z30" s="1" t="s">
        <v>925</v>
      </c>
      <c r="AA30" s="1" t="s">
        <v>927</v>
      </c>
      <c r="AB30" s="1" t="s">
        <v>512</v>
      </c>
      <c r="AC30" s="1" t="s">
        <v>528</v>
      </c>
      <c r="AD30" s="1">
        <v>44561</v>
      </c>
      <c r="AE30" s="1">
        <v>44561</v>
      </c>
      <c r="AF30" s="1">
        <v>44561</v>
      </c>
    </row>
    <row r="31" spans="17:32" ht="12.75">
      <c r="Q31" s="1" t="s">
        <v>798</v>
      </c>
      <c r="R31" s="1" t="s">
        <v>616</v>
      </c>
      <c r="S31" s="1" t="s">
        <v>910</v>
      </c>
      <c r="T31" s="1">
        <v>1</v>
      </c>
      <c r="U31" s="1">
        <v>31</v>
      </c>
      <c r="V31" s="1" t="s">
        <v>1610</v>
      </c>
      <c r="W31" s="1">
        <v>40</v>
      </c>
      <c r="X31" s="1">
        <v>140</v>
      </c>
      <c r="Y31" s="1" t="s">
        <v>798</v>
      </c>
      <c r="Z31" s="1" t="s">
        <v>925</v>
      </c>
      <c r="AA31" s="1" t="s">
        <v>927</v>
      </c>
      <c r="AB31" s="1" t="s">
        <v>512</v>
      </c>
      <c r="AC31" s="1" t="s">
        <v>1610</v>
      </c>
      <c r="AD31" s="1">
        <v>44561</v>
      </c>
      <c r="AE31" s="1">
        <v>44561</v>
      </c>
      <c r="AF31" s="1">
        <v>44561</v>
      </c>
    </row>
    <row r="32" spans="17:32" ht="12.75">
      <c r="Q32" s="1" t="s">
        <v>800</v>
      </c>
      <c r="R32" s="1" t="s">
        <v>616</v>
      </c>
      <c r="S32" s="1" t="s">
        <v>910</v>
      </c>
      <c r="T32" s="1">
        <v>1</v>
      </c>
      <c r="U32" s="1">
        <v>32</v>
      </c>
      <c r="V32" s="1" t="s">
        <v>1611</v>
      </c>
      <c r="W32" s="1">
        <v>40</v>
      </c>
      <c r="X32" s="1">
        <v>140</v>
      </c>
      <c r="Y32" s="1" t="s">
        <v>800</v>
      </c>
      <c r="Z32" s="1" t="s">
        <v>925</v>
      </c>
      <c r="AA32" s="1" t="s">
        <v>927</v>
      </c>
      <c r="AB32" s="1" t="s">
        <v>512</v>
      </c>
      <c r="AC32" s="1" t="s">
        <v>1611</v>
      </c>
      <c r="AD32" s="1">
        <v>44561</v>
      </c>
      <c r="AE32" s="1">
        <v>44561</v>
      </c>
      <c r="AF32" s="1">
        <v>44561</v>
      </c>
    </row>
    <row r="33" spans="17:32" ht="12.75">
      <c r="Q33" s="1" t="s">
        <v>801</v>
      </c>
      <c r="R33" s="1" t="s">
        <v>616</v>
      </c>
      <c r="S33" s="1" t="s">
        <v>910</v>
      </c>
      <c r="T33" s="1">
        <v>1</v>
      </c>
      <c r="U33" s="1">
        <v>33</v>
      </c>
      <c r="V33" s="1" t="s">
        <v>1612</v>
      </c>
      <c r="W33" s="1">
        <v>40</v>
      </c>
      <c r="X33" s="1">
        <v>140</v>
      </c>
      <c r="Y33" s="1" t="s">
        <v>801</v>
      </c>
      <c r="Z33" s="1" t="s">
        <v>925</v>
      </c>
      <c r="AA33" s="1" t="s">
        <v>927</v>
      </c>
      <c r="AB33" s="1" t="s">
        <v>512</v>
      </c>
      <c r="AC33" s="1" t="s">
        <v>1612</v>
      </c>
      <c r="AD33" s="1">
        <v>44561</v>
      </c>
      <c r="AE33" s="1">
        <v>44561</v>
      </c>
      <c r="AF33" s="1">
        <v>44561</v>
      </c>
    </row>
    <row r="34" spans="17:32" ht="12.75">
      <c r="Q34" s="1" t="s">
        <v>802</v>
      </c>
      <c r="R34" s="1" t="s">
        <v>616</v>
      </c>
      <c r="S34" s="1" t="s">
        <v>910</v>
      </c>
      <c r="T34" s="1">
        <v>1</v>
      </c>
      <c r="U34" s="1">
        <v>34</v>
      </c>
      <c r="V34" s="1" t="s">
        <v>1613</v>
      </c>
      <c r="W34" s="1">
        <v>40</v>
      </c>
      <c r="X34" s="1">
        <v>140</v>
      </c>
      <c r="Y34" s="1" t="s">
        <v>802</v>
      </c>
      <c r="Z34" s="1" t="s">
        <v>925</v>
      </c>
      <c r="AA34" s="1" t="s">
        <v>927</v>
      </c>
      <c r="AB34" s="1" t="s">
        <v>512</v>
      </c>
      <c r="AC34" s="1" t="s">
        <v>1613</v>
      </c>
      <c r="AD34" s="1">
        <v>44561</v>
      </c>
      <c r="AE34" s="1">
        <v>44561</v>
      </c>
      <c r="AF34" s="1">
        <v>44561</v>
      </c>
    </row>
    <row r="35" spans="17:32" ht="12.75">
      <c r="Q35" s="1" t="s">
        <v>1056</v>
      </c>
      <c r="R35" s="1" t="s">
        <v>616</v>
      </c>
      <c r="S35" s="1" t="s">
        <v>910</v>
      </c>
      <c r="T35" s="1">
        <v>1</v>
      </c>
      <c r="U35" s="1">
        <v>35</v>
      </c>
      <c r="V35" s="1" t="s">
        <v>1614</v>
      </c>
      <c r="W35" s="1">
        <v>40</v>
      </c>
      <c r="X35" s="1">
        <v>140</v>
      </c>
      <c r="Y35" s="1" t="s">
        <v>1056</v>
      </c>
      <c r="Z35" s="1" t="s">
        <v>925</v>
      </c>
      <c r="AA35" s="1" t="s">
        <v>927</v>
      </c>
      <c r="AB35" s="1" t="s">
        <v>512</v>
      </c>
      <c r="AC35" s="1" t="s">
        <v>1614</v>
      </c>
      <c r="AD35" s="1">
        <v>44561</v>
      </c>
      <c r="AE35" s="1">
        <v>44561</v>
      </c>
      <c r="AF35" s="1">
        <v>44561</v>
      </c>
    </row>
    <row r="36" spans="17:32" ht="12.75">
      <c r="Q36" s="1" t="s">
        <v>703</v>
      </c>
      <c r="R36" s="1" t="s">
        <v>616</v>
      </c>
      <c r="S36" s="1" t="s">
        <v>910</v>
      </c>
      <c r="T36" s="1">
        <v>1</v>
      </c>
      <c r="U36" s="1">
        <v>36</v>
      </c>
      <c r="V36" s="1" t="s">
        <v>631</v>
      </c>
      <c r="W36" s="1">
        <v>40</v>
      </c>
      <c r="X36" s="1">
        <v>140</v>
      </c>
      <c r="Y36" s="1" t="s">
        <v>703</v>
      </c>
      <c r="Z36" s="1" t="s">
        <v>925</v>
      </c>
      <c r="AA36" s="1" t="s">
        <v>927</v>
      </c>
      <c r="AB36" s="1" t="s">
        <v>512</v>
      </c>
      <c r="AC36" s="1" t="s">
        <v>631</v>
      </c>
      <c r="AD36" s="1">
        <v>44926</v>
      </c>
      <c r="AE36" s="1">
        <v>44926</v>
      </c>
      <c r="AF36" s="1">
        <v>44926</v>
      </c>
    </row>
    <row r="37" spans="17:32" ht="12.75">
      <c r="Q37" s="1" t="s">
        <v>705</v>
      </c>
      <c r="R37" s="1" t="s">
        <v>616</v>
      </c>
      <c r="S37" s="1" t="s">
        <v>910</v>
      </c>
      <c r="T37" s="1">
        <v>1</v>
      </c>
      <c r="U37" s="1">
        <v>37</v>
      </c>
      <c r="V37" s="1" t="s">
        <v>632</v>
      </c>
      <c r="W37" s="1">
        <v>40</v>
      </c>
      <c r="X37" s="1">
        <v>140</v>
      </c>
      <c r="Y37" s="1" t="s">
        <v>705</v>
      </c>
      <c r="Z37" s="1" t="s">
        <v>925</v>
      </c>
      <c r="AA37" s="1" t="s">
        <v>927</v>
      </c>
      <c r="AB37" s="1" t="s">
        <v>512</v>
      </c>
      <c r="AC37" s="1" t="s">
        <v>632</v>
      </c>
      <c r="AD37" s="1">
        <v>44926</v>
      </c>
      <c r="AE37" s="1">
        <v>44926</v>
      </c>
      <c r="AF37" s="1">
        <v>44926</v>
      </c>
    </row>
    <row r="38" spans="17:32" ht="12.75">
      <c r="Q38" s="1" t="s">
        <v>707</v>
      </c>
      <c r="R38" s="1" t="s">
        <v>616</v>
      </c>
      <c r="S38" s="1" t="s">
        <v>910</v>
      </c>
      <c r="T38" s="1">
        <v>1</v>
      </c>
      <c r="U38" s="1">
        <v>38</v>
      </c>
      <c r="V38" s="1" t="s">
        <v>633</v>
      </c>
      <c r="W38" s="1">
        <v>40</v>
      </c>
      <c r="X38" s="1">
        <v>140</v>
      </c>
      <c r="Y38" s="1" t="s">
        <v>707</v>
      </c>
      <c r="Z38" s="1" t="s">
        <v>925</v>
      </c>
      <c r="AA38" s="1" t="s">
        <v>927</v>
      </c>
      <c r="AB38" s="1" t="s">
        <v>512</v>
      </c>
      <c r="AC38" s="1" t="s">
        <v>633</v>
      </c>
      <c r="AD38" s="1">
        <v>44926</v>
      </c>
      <c r="AE38" s="1">
        <v>44926</v>
      </c>
      <c r="AF38" s="1">
        <v>44926</v>
      </c>
    </row>
    <row r="39" spans="17:32" ht="12.75">
      <c r="Q39" s="1" t="s">
        <v>709</v>
      </c>
      <c r="R39" s="1" t="s">
        <v>616</v>
      </c>
      <c r="S39" s="1" t="s">
        <v>910</v>
      </c>
      <c r="T39" s="1">
        <v>1</v>
      </c>
      <c r="U39" s="1">
        <v>39</v>
      </c>
      <c r="V39" s="1" t="s">
        <v>634</v>
      </c>
      <c r="W39" s="1">
        <v>40</v>
      </c>
      <c r="X39" s="1">
        <v>140</v>
      </c>
      <c r="Y39" s="1" t="s">
        <v>709</v>
      </c>
      <c r="Z39" s="1" t="s">
        <v>925</v>
      </c>
      <c r="AA39" s="1" t="s">
        <v>927</v>
      </c>
      <c r="AB39" s="1" t="s">
        <v>512</v>
      </c>
      <c r="AC39" s="1" t="s">
        <v>634</v>
      </c>
      <c r="AD39" s="1">
        <v>44926</v>
      </c>
      <c r="AE39" s="1">
        <v>44926</v>
      </c>
      <c r="AF39" s="1">
        <v>44926</v>
      </c>
    </row>
    <row r="40" spans="17:32" ht="12.75">
      <c r="Q40" s="1" t="s">
        <v>711</v>
      </c>
      <c r="R40" s="1" t="s">
        <v>616</v>
      </c>
      <c r="S40" s="1" t="s">
        <v>910</v>
      </c>
      <c r="T40" s="1">
        <v>1</v>
      </c>
      <c r="U40" s="1">
        <v>40</v>
      </c>
      <c r="V40" s="1" t="s">
        <v>635</v>
      </c>
      <c r="W40" s="1">
        <v>40</v>
      </c>
      <c r="X40" s="1">
        <v>140</v>
      </c>
      <c r="Y40" s="1" t="s">
        <v>711</v>
      </c>
      <c r="Z40" s="1" t="s">
        <v>925</v>
      </c>
      <c r="AA40" s="1" t="s">
        <v>927</v>
      </c>
      <c r="AB40" s="1" t="s">
        <v>512</v>
      </c>
      <c r="AC40" s="1" t="s">
        <v>635</v>
      </c>
      <c r="AD40" s="1">
        <v>44926</v>
      </c>
      <c r="AE40" s="1">
        <v>44926</v>
      </c>
      <c r="AF40" s="1">
        <v>44926</v>
      </c>
    </row>
    <row r="41" spans="17:32" ht="12.75">
      <c r="Q41" s="1" t="s">
        <v>1615</v>
      </c>
      <c r="R41" s="1" t="s">
        <v>627</v>
      </c>
      <c r="S41" s="1" t="s">
        <v>910</v>
      </c>
      <c r="T41" s="1">
        <v>2</v>
      </c>
      <c r="U41" s="1">
        <v>41</v>
      </c>
      <c r="V41" s="1" t="s">
        <v>512</v>
      </c>
      <c r="W41" s="1">
        <v>40</v>
      </c>
      <c r="X41" s="1">
        <v>140</v>
      </c>
      <c r="Y41" s="1" t="s">
        <v>1183</v>
      </c>
      <c r="Z41" s="1" t="s">
        <v>925</v>
      </c>
      <c r="AA41" s="1" t="s">
        <v>927</v>
      </c>
      <c r="AB41" s="1" t="s">
        <v>512</v>
      </c>
      <c r="AD41" s="1">
        <v>44561</v>
      </c>
      <c r="AE41" s="1">
        <v>44561</v>
      </c>
      <c r="AF41" s="1">
        <v>44561</v>
      </c>
    </row>
    <row r="42" spans="17:32" ht="12.75">
      <c r="Q42" s="1" t="s">
        <v>1059</v>
      </c>
      <c r="R42" s="1" t="s">
        <v>616</v>
      </c>
      <c r="S42" s="1" t="s">
        <v>910</v>
      </c>
      <c r="T42" s="1">
        <v>1</v>
      </c>
      <c r="U42" s="1">
        <v>42</v>
      </c>
      <c r="V42" s="1" t="s">
        <v>1616</v>
      </c>
      <c r="W42" s="1">
        <v>40</v>
      </c>
      <c r="X42" s="1">
        <v>150</v>
      </c>
      <c r="Y42" s="1" t="s">
        <v>1059</v>
      </c>
      <c r="Z42" s="1" t="s">
        <v>925</v>
      </c>
      <c r="AA42" s="1" t="s">
        <v>927</v>
      </c>
      <c r="AB42" s="1" t="s">
        <v>1617</v>
      </c>
      <c r="AC42" s="1" t="s">
        <v>1616</v>
      </c>
      <c r="AD42" s="1">
        <v>44561</v>
      </c>
      <c r="AE42" s="1">
        <v>44561</v>
      </c>
      <c r="AF42" s="1">
        <v>44561</v>
      </c>
    </row>
    <row r="43" spans="17:32" ht="12.75">
      <c r="Q43" s="1" t="s">
        <v>1062</v>
      </c>
      <c r="R43" s="1" t="s">
        <v>616</v>
      </c>
      <c r="S43" s="1" t="s">
        <v>910</v>
      </c>
      <c r="T43" s="1">
        <v>1</v>
      </c>
      <c r="U43" s="1">
        <v>43</v>
      </c>
      <c r="V43" s="1" t="s">
        <v>1618</v>
      </c>
      <c r="W43" s="1">
        <v>40</v>
      </c>
      <c r="X43" s="1">
        <v>150</v>
      </c>
      <c r="Y43" s="1" t="s">
        <v>1062</v>
      </c>
      <c r="Z43" s="1" t="s">
        <v>925</v>
      </c>
      <c r="AA43" s="1" t="s">
        <v>927</v>
      </c>
      <c r="AB43" s="1" t="s">
        <v>1617</v>
      </c>
      <c r="AC43" s="1" t="s">
        <v>1618</v>
      </c>
      <c r="AD43" s="1">
        <v>44561</v>
      </c>
      <c r="AE43" s="1">
        <v>44561</v>
      </c>
      <c r="AF43" s="1">
        <v>44561</v>
      </c>
    </row>
    <row r="44" spans="17:32" ht="12.75">
      <c r="Q44" s="1" t="s">
        <v>1619</v>
      </c>
      <c r="R44" s="1" t="s">
        <v>627</v>
      </c>
      <c r="S44" s="1" t="s">
        <v>910</v>
      </c>
      <c r="T44" s="1">
        <v>2</v>
      </c>
      <c r="U44" s="1">
        <v>44</v>
      </c>
      <c r="V44" s="1" t="s">
        <v>1617</v>
      </c>
      <c r="W44" s="1">
        <v>40</v>
      </c>
      <c r="X44" s="1">
        <v>150</v>
      </c>
      <c r="Y44" s="1" t="s">
        <v>1183</v>
      </c>
      <c r="Z44" s="1" t="s">
        <v>925</v>
      </c>
      <c r="AA44" s="1" t="s">
        <v>927</v>
      </c>
      <c r="AB44" s="1" t="s">
        <v>1617</v>
      </c>
      <c r="AD44" s="1">
        <v>44561</v>
      </c>
      <c r="AE44" s="1">
        <v>44561</v>
      </c>
      <c r="AF44" s="1">
        <v>44561</v>
      </c>
    </row>
    <row r="45" spans="17:32" ht="12.75">
      <c r="Q45" s="1" t="s">
        <v>804</v>
      </c>
      <c r="R45" s="1" t="s">
        <v>616</v>
      </c>
      <c r="S45" s="1" t="s">
        <v>910</v>
      </c>
      <c r="T45" s="1">
        <v>1</v>
      </c>
      <c r="U45" s="1">
        <v>45</v>
      </c>
      <c r="V45" s="1" t="s">
        <v>1620</v>
      </c>
      <c r="W45" s="1">
        <v>40</v>
      </c>
      <c r="X45" s="1">
        <v>160</v>
      </c>
      <c r="Y45" s="1" t="s">
        <v>804</v>
      </c>
      <c r="Z45" s="1" t="s">
        <v>925</v>
      </c>
      <c r="AA45" s="1" t="s">
        <v>927</v>
      </c>
      <c r="AB45" s="1" t="s">
        <v>642</v>
      </c>
      <c r="AC45" s="1" t="s">
        <v>1620</v>
      </c>
      <c r="AD45" s="1">
        <v>44561</v>
      </c>
      <c r="AE45" s="1">
        <v>44561</v>
      </c>
      <c r="AF45" s="1">
        <v>44561</v>
      </c>
    </row>
    <row r="46" spans="17:32" ht="12.75">
      <c r="Q46" s="1" t="s">
        <v>805</v>
      </c>
      <c r="R46" s="1" t="s">
        <v>616</v>
      </c>
      <c r="S46" s="1" t="s">
        <v>910</v>
      </c>
      <c r="T46" s="1">
        <v>1</v>
      </c>
      <c r="U46" s="1">
        <v>46</v>
      </c>
      <c r="V46" s="1" t="s">
        <v>1621</v>
      </c>
      <c r="W46" s="1">
        <v>40</v>
      </c>
      <c r="X46" s="1">
        <v>160</v>
      </c>
      <c r="Y46" s="1" t="s">
        <v>805</v>
      </c>
      <c r="Z46" s="1" t="s">
        <v>925</v>
      </c>
      <c r="AA46" s="1" t="s">
        <v>927</v>
      </c>
      <c r="AB46" s="1" t="s">
        <v>642</v>
      </c>
      <c r="AC46" s="1" t="s">
        <v>1621</v>
      </c>
      <c r="AD46" s="1">
        <v>44561</v>
      </c>
      <c r="AE46" s="1">
        <v>44561</v>
      </c>
      <c r="AF46" s="1">
        <v>44561</v>
      </c>
    </row>
    <row r="47" spans="17:32" ht="12.75">
      <c r="Q47" s="1" t="s">
        <v>806</v>
      </c>
      <c r="R47" s="1" t="s">
        <v>616</v>
      </c>
      <c r="S47" s="1" t="s">
        <v>910</v>
      </c>
      <c r="T47" s="1">
        <v>1</v>
      </c>
      <c r="U47" s="1">
        <v>47</v>
      </c>
      <c r="V47" s="1" t="s">
        <v>1622</v>
      </c>
      <c r="W47" s="1">
        <v>40</v>
      </c>
      <c r="X47" s="1">
        <v>160</v>
      </c>
      <c r="Y47" s="1" t="s">
        <v>806</v>
      </c>
      <c r="Z47" s="1" t="s">
        <v>925</v>
      </c>
      <c r="AA47" s="1" t="s">
        <v>927</v>
      </c>
      <c r="AB47" s="1" t="s">
        <v>642</v>
      </c>
      <c r="AC47" s="1" t="s">
        <v>1622</v>
      </c>
      <c r="AD47" s="1">
        <v>44561</v>
      </c>
      <c r="AE47" s="1">
        <v>44561</v>
      </c>
      <c r="AF47" s="1">
        <v>44561</v>
      </c>
    </row>
    <row r="48" spans="17:32" ht="12.75">
      <c r="Q48" s="1" t="s">
        <v>807</v>
      </c>
      <c r="R48" s="1" t="s">
        <v>616</v>
      </c>
      <c r="S48" s="1" t="s">
        <v>910</v>
      </c>
      <c r="T48" s="1">
        <v>1</v>
      </c>
      <c r="U48" s="1">
        <v>48</v>
      </c>
      <c r="V48" s="1" t="s">
        <v>1623</v>
      </c>
      <c r="W48" s="1">
        <v>40</v>
      </c>
      <c r="X48" s="1">
        <v>160</v>
      </c>
      <c r="Y48" s="1" t="s">
        <v>807</v>
      </c>
      <c r="Z48" s="1" t="s">
        <v>925</v>
      </c>
      <c r="AA48" s="1" t="s">
        <v>927</v>
      </c>
      <c r="AB48" s="1" t="s">
        <v>642</v>
      </c>
      <c r="AC48" s="1" t="s">
        <v>1623</v>
      </c>
      <c r="AD48" s="1">
        <v>44561</v>
      </c>
      <c r="AE48" s="1">
        <v>44561</v>
      </c>
      <c r="AF48" s="1">
        <v>44561</v>
      </c>
    </row>
    <row r="49" spans="17:32" ht="12.75">
      <c r="Q49" s="1" t="s">
        <v>808</v>
      </c>
      <c r="R49" s="1" t="s">
        <v>616</v>
      </c>
      <c r="S49" s="1" t="s">
        <v>910</v>
      </c>
      <c r="T49" s="1">
        <v>1</v>
      </c>
      <c r="U49" s="1">
        <v>49</v>
      </c>
      <c r="V49" s="1" t="s">
        <v>1624</v>
      </c>
      <c r="W49" s="1">
        <v>40</v>
      </c>
      <c r="X49" s="1">
        <v>160</v>
      </c>
      <c r="Y49" s="1" t="s">
        <v>808</v>
      </c>
      <c r="Z49" s="1" t="s">
        <v>925</v>
      </c>
      <c r="AA49" s="1" t="s">
        <v>927</v>
      </c>
      <c r="AB49" s="1" t="s">
        <v>642</v>
      </c>
      <c r="AC49" s="1" t="s">
        <v>1624</v>
      </c>
      <c r="AD49" s="1">
        <v>44561</v>
      </c>
      <c r="AE49" s="1">
        <v>44561</v>
      </c>
      <c r="AF49" s="1">
        <v>44561</v>
      </c>
    </row>
    <row r="50" spans="17:32" ht="12.75">
      <c r="Q50" s="1" t="s">
        <v>715</v>
      </c>
      <c r="R50" s="1" t="s">
        <v>616</v>
      </c>
      <c r="S50" s="1" t="s">
        <v>910</v>
      </c>
      <c r="T50" s="1">
        <v>1</v>
      </c>
      <c r="U50" s="1">
        <v>50</v>
      </c>
      <c r="V50" s="1" t="s">
        <v>636</v>
      </c>
      <c r="W50" s="1">
        <v>40</v>
      </c>
      <c r="X50" s="1">
        <v>160</v>
      </c>
      <c r="Y50" s="1" t="s">
        <v>715</v>
      </c>
      <c r="Z50" s="1" t="s">
        <v>925</v>
      </c>
      <c r="AA50" s="1" t="s">
        <v>927</v>
      </c>
      <c r="AB50" s="1" t="s">
        <v>642</v>
      </c>
      <c r="AC50" s="1" t="s">
        <v>636</v>
      </c>
      <c r="AD50" s="1">
        <v>44926</v>
      </c>
      <c r="AE50" s="1">
        <v>44926</v>
      </c>
      <c r="AF50" s="1">
        <v>44926</v>
      </c>
    </row>
    <row r="51" spans="17:32" ht="12.75">
      <c r="Q51" s="1" t="s">
        <v>718</v>
      </c>
      <c r="R51" s="1" t="s">
        <v>616</v>
      </c>
      <c r="S51" s="1" t="s">
        <v>910</v>
      </c>
      <c r="T51" s="1">
        <v>1</v>
      </c>
      <c r="U51" s="1">
        <v>51</v>
      </c>
      <c r="V51" s="1" t="s">
        <v>637</v>
      </c>
      <c r="W51" s="1">
        <v>40</v>
      </c>
      <c r="X51" s="1">
        <v>160</v>
      </c>
      <c r="Y51" s="1" t="s">
        <v>718</v>
      </c>
      <c r="Z51" s="1" t="s">
        <v>925</v>
      </c>
      <c r="AA51" s="1" t="s">
        <v>927</v>
      </c>
      <c r="AB51" s="1" t="s">
        <v>642</v>
      </c>
      <c r="AC51" s="1" t="s">
        <v>637</v>
      </c>
      <c r="AD51" s="1">
        <v>44926</v>
      </c>
      <c r="AE51" s="1">
        <v>44926</v>
      </c>
      <c r="AF51" s="1">
        <v>44926</v>
      </c>
    </row>
    <row r="52" spans="17:32" ht="12.75">
      <c r="Q52" s="1" t="s">
        <v>720</v>
      </c>
      <c r="R52" s="1" t="s">
        <v>616</v>
      </c>
      <c r="S52" s="1" t="s">
        <v>910</v>
      </c>
      <c r="T52" s="1">
        <v>1</v>
      </c>
      <c r="U52" s="1">
        <v>52</v>
      </c>
      <c r="V52" s="1" t="s">
        <v>638</v>
      </c>
      <c r="W52" s="1">
        <v>40</v>
      </c>
      <c r="X52" s="1">
        <v>160</v>
      </c>
      <c r="Y52" s="1" t="s">
        <v>720</v>
      </c>
      <c r="Z52" s="1" t="s">
        <v>925</v>
      </c>
      <c r="AA52" s="1" t="s">
        <v>927</v>
      </c>
      <c r="AB52" s="1" t="s">
        <v>642</v>
      </c>
      <c r="AC52" s="1" t="s">
        <v>638</v>
      </c>
      <c r="AD52" s="1">
        <v>44926</v>
      </c>
      <c r="AE52" s="1">
        <v>44926</v>
      </c>
      <c r="AF52" s="1">
        <v>44926</v>
      </c>
    </row>
    <row r="53" spans="17:32" ht="12.75">
      <c r="Q53" s="1" t="s">
        <v>722</v>
      </c>
      <c r="R53" s="1" t="s">
        <v>616</v>
      </c>
      <c r="S53" s="1" t="s">
        <v>910</v>
      </c>
      <c r="T53" s="1">
        <v>1</v>
      </c>
      <c r="U53" s="1">
        <v>53</v>
      </c>
      <c r="V53" s="1" t="s">
        <v>639</v>
      </c>
      <c r="W53" s="1">
        <v>40</v>
      </c>
      <c r="X53" s="1">
        <v>160</v>
      </c>
      <c r="Y53" s="1" t="s">
        <v>722</v>
      </c>
      <c r="Z53" s="1" t="s">
        <v>925</v>
      </c>
      <c r="AA53" s="1" t="s">
        <v>927</v>
      </c>
      <c r="AB53" s="1" t="s">
        <v>642</v>
      </c>
      <c r="AC53" s="1" t="s">
        <v>639</v>
      </c>
      <c r="AD53" s="1">
        <v>44926</v>
      </c>
      <c r="AE53" s="1">
        <v>44926</v>
      </c>
      <c r="AF53" s="1">
        <v>44926</v>
      </c>
    </row>
    <row r="54" spans="17:32" ht="12.75">
      <c r="Q54" s="1" t="s">
        <v>724</v>
      </c>
      <c r="R54" s="1" t="s">
        <v>616</v>
      </c>
      <c r="S54" s="1" t="s">
        <v>910</v>
      </c>
      <c r="T54" s="1">
        <v>1</v>
      </c>
      <c r="U54" s="1">
        <v>54</v>
      </c>
      <c r="V54" s="1" t="s">
        <v>640</v>
      </c>
      <c r="W54" s="1">
        <v>40</v>
      </c>
      <c r="X54" s="1">
        <v>160</v>
      </c>
      <c r="Y54" s="1" t="s">
        <v>724</v>
      </c>
      <c r="Z54" s="1" t="s">
        <v>925</v>
      </c>
      <c r="AA54" s="1" t="s">
        <v>927</v>
      </c>
      <c r="AB54" s="1" t="s">
        <v>642</v>
      </c>
      <c r="AC54" s="1" t="s">
        <v>640</v>
      </c>
      <c r="AD54" s="1">
        <v>44926</v>
      </c>
      <c r="AE54" s="1">
        <v>44926</v>
      </c>
      <c r="AF54" s="1">
        <v>44926</v>
      </c>
    </row>
    <row r="55" spans="17:32" ht="12.75">
      <c r="Q55" s="1" t="s">
        <v>726</v>
      </c>
      <c r="R55" s="1" t="s">
        <v>616</v>
      </c>
      <c r="S55" s="1" t="s">
        <v>910</v>
      </c>
      <c r="T55" s="1">
        <v>1</v>
      </c>
      <c r="U55" s="1">
        <v>55</v>
      </c>
      <c r="V55" s="1" t="s">
        <v>641</v>
      </c>
      <c r="W55" s="1">
        <v>40</v>
      </c>
      <c r="X55" s="1">
        <v>160</v>
      </c>
      <c r="Y55" s="1" t="s">
        <v>726</v>
      </c>
      <c r="Z55" s="1" t="s">
        <v>925</v>
      </c>
      <c r="AA55" s="1" t="s">
        <v>927</v>
      </c>
      <c r="AB55" s="1" t="s">
        <v>642</v>
      </c>
      <c r="AC55" s="1" t="s">
        <v>641</v>
      </c>
      <c r="AD55" s="1">
        <v>44804</v>
      </c>
      <c r="AE55" s="1">
        <v>44804</v>
      </c>
      <c r="AF55" s="1">
        <v>44804</v>
      </c>
    </row>
    <row r="56" spans="17:32" ht="12.75">
      <c r="Q56" s="1" t="s">
        <v>1625</v>
      </c>
      <c r="R56" s="1" t="s">
        <v>627</v>
      </c>
      <c r="S56" s="1" t="s">
        <v>910</v>
      </c>
      <c r="T56" s="1">
        <v>2</v>
      </c>
      <c r="U56" s="1">
        <v>56</v>
      </c>
      <c r="V56" s="1" t="s">
        <v>642</v>
      </c>
      <c r="W56" s="1">
        <v>40</v>
      </c>
      <c r="X56" s="1">
        <v>160</v>
      </c>
      <c r="Y56" s="1" t="s">
        <v>1183</v>
      </c>
      <c r="Z56" s="1" t="s">
        <v>925</v>
      </c>
      <c r="AA56" s="1" t="s">
        <v>927</v>
      </c>
      <c r="AB56" s="1" t="s">
        <v>642</v>
      </c>
      <c r="AD56" s="1">
        <v>44561</v>
      </c>
      <c r="AE56" s="1">
        <v>44561</v>
      </c>
      <c r="AF56" s="1">
        <v>44561</v>
      </c>
    </row>
    <row r="57" spans="17:32" ht="12.75">
      <c r="Q57" s="1" t="s">
        <v>1037</v>
      </c>
      <c r="R57" s="1" t="s">
        <v>616</v>
      </c>
      <c r="S57" s="1" t="s">
        <v>910</v>
      </c>
      <c r="T57" s="1">
        <v>1</v>
      </c>
      <c r="U57" s="1">
        <v>57</v>
      </c>
      <c r="V57" s="1" t="s">
        <v>1626</v>
      </c>
      <c r="W57" s="1">
        <v>40</v>
      </c>
      <c r="X57" s="1">
        <v>170</v>
      </c>
      <c r="Y57" s="1" t="s">
        <v>1037</v>
      </c>
      <c r="Z57" s="1" t="s">
        <v>925</v>
      </c>
      <c r="AA57" s="1" t="s">
        <v>927</v>
      </c>
      <c r="AB57" s="1" t="s">
        <v>515</v>
      </c>
      <c r="AC57" s="1" t="s">
        <v>1626</v>
      </c>
      <c r="AD57" s="1">
        <v>44561</v>
      </c>
      <c r="AE57" s="1">
        <v>44561</v>
      </c>
      <c r="AF57" s="1">
        <v>44561</v>
      </c>
    </row>
    <row r="58" spans="17:32" ht="12.75">
      <c r="Q58" s="1" t="s">
        <v>1040</v>
      </c>
      <c r="R58" s="1" t="s">
        <v>616</v>
      </c>
      <c r="S58" s="1" t="s">
        <v>910</v>
      </c>
      <c r="T58" s="1">
        <v>1</v>
      </c>
      <c r="U58" s="1">
        <v>58</v>
      </c>
      <c r="V58" s="1" t="s">
        <v>1627</v>
      </c>
      <c r="W58" s="1">
        <v>40</v>
      </c>
      <c r="X58" s="1">
        <v>170</v>
      </c>
      <c r="Y58" s="1" t="s">
        <v>1040</v>
      </c>
      <c r="Z58" s="1" t="s">
        <v>925</v>
      </c>
      <c r="AA58" s="1" t="s">
        <v>927</v>
      </c>
      <c r="AB58" s="1" t="s">
        <v>515</v>
      </c>
      <c r="AC58" s="1" t="s">
        <v>1627</v>
      </c>
      <c r="AD58" s="1">
        <v>44561</v>
      </c>
      <c r="AE58" s="1">
        <v>44561</v>
      </c>
      <c r="AF58" s="1">
        <v>44561</v>
      </c>
    </row>
    <row r="59" spans="17:32" ht="12.75">
      <c r="Q59" s="1" t="s">
        <v>768</v>
      </c>
      <c r="R59" s="1" t="s">
        <v>616</v>
      </c>
      <c r="S59" s="1" t="s">
        <v>910</v>
      </c>
      <c r="T59" s="1">
        <v>1</v>
      </c>
      <c r="U59" s="1">
        <v>59</v>
      </c>
      <c r="V59" s="1" t="s">
        <v>1628</v>
      </c>
      <c r="W59" s="1">
        <v>40</v>
      </c>
      <c r="X59" s="1">
        <v>170</v>
      </c>
      <c r="Y59" s="1" t="s">
        <v>768</v>
      </c>
      <c r="Z59" s="1" t="s">
        <v>925</v>
      </c>
      <c r="AA59" s="1" t="s">
        <v>927</v>
      </c>
      <c r="AB59" s="1" t="s">
        <v>515</v>
      </c>
      <c r="AC59" s="1" t="s">
        <v>1628</v>
      </c>
      <c r="AD59" s="1">
        <v>44561</v>
      </c>
      <c r="AE59" s="1">
        <v>44561</v>
      </c>
      <c r="AF59" s="1">
        <v>44561</v>
      </c>
    </row>
    <row r="60" spans="17:32" ht="12.75">
      <c r="Q60" s="1" t="s">
        <v>792</v>
      </c>
      <c r="R60" s="1" t="s">
        <v>616</v>
      </c>
      <c r="S60" s="1" t="s">
        <v>910</v>
      </c>
      <c r="T60" s="1">
        <v>1</v>
      </c>
      <c r="U60" s="1">
        <v>60</v>
      </c>
      <c r="V60" s="1" t="s">
        <v>1629</v>
      </c>
      <c r="W60" s="1">
        <v>40</v>
      </c>
      <c r="X60" s="1">
        <v>170</v>
      </c>
      <c r="Y60" s="1" t="s">
        <v>792</v>
      </c>
      <c r="Z60" s="1" t="s">
        <v>925</v>
      </c>
      <c r="AA60" s="1" t="s">
        <v>927</v>
      </c>
      <c r="AB60" s="1" t="s">
        <v>515</v>
      </c>
      <c r="AC60" s="1" t="s">
        <v>1629</v>
      </c>
      <c r="AD60" s="1">
        <v>44561</v>
      </c>
      <c r="AE60" s="1">
        <v>44561</v>
      </c>
      <c r="AF60" s="1">
        <v>44561</v>
      </c>
    </row>
    <row r="61" spans="17:32" ht="12.75">
      <c r="Q61" s="1" t="s">
        <v>809</v>
      </c>
      <c r="R61" s="1" t="s">
        <v>616</v>
      </c>
      <c r="S61" s="1" t="s">
        <v>910</v>
      </c>
      <c r="T61" s="1">
        <v>1</v>
      </c>
      <c r="U61" s="1">
        <v>61</v>
      </c>
      <c r="V61" s="1" t="s">
        <v>1630</v>
      </c>
      <c r="W61" s="1">
        <v>40</v>
      </c>
      <c r="X61" s="1">
        <v>170</v>
      </c>
      <c r="Y61" s="1" t="s">
        <v>809</v>
      </c>
      <c r="Z61" s="1" t="s">
        <v>925</v>
      </c>
      <c r="AA61" s="1" t="s">
        <v>927</v>
      </c>
      <c r="AB61" s="1" t="s">
        <v>515</v>
      </c>
      <c r="AC61" s="1" t="s">
        <v>1630</v>
      </c>
      <c r="AD61" s="1">
        <v>44561</v>
      </c>
      <c r="AE61" s="1">
        <v>44561</v>
      </c>
      <c r="AF61" s="1">
        <v>44561</v>
      </c>
    </row>
    <row r="62" spans="17:32" ht="12.75">
      <c r="Q62" s="1" t="s">
        <v>810</v>
      </c>
      <c r="R62" s="1" t="s">
        <v>616</v>
      </c>
      <c r="S62" s="1" t="s">
        <v>910</v>
      </c>
      <c r="T62" s="1">
        <v>1</v>
      </c>
      <c r="U62" s="1">
        <v>62</v>
      </c>
      <c r="V62" s="1" t="s">
        <v>1631</v>
      </c>
      <c r="W62" s="1">
        <v>40</v>
      </c>
      <c r="X62" s="1">
        <v>170</v>
      </c>
      <c r="Y62" s="1" t="s">
        <v>810</v>
      </c>
      <c r="Z62" s="1" t="s">
        <v>925</v>
      </c>
      <c r="AA62" s="1" t="s">
        <v>927</v>
      </c>
      <c r="AB62" s="1" t="s">
        <v>515</v>
      </c>
      <c r="AC62" s="1" t="s">
        <v>1631</v>
      </c>
      <c r="AD62" s="1">
        <v>44561</v>
      </c>
      <c r="AE62" s="1">
        <v>44561</v>
      </c>
      <c r="AF62" s="1">
        <v>44561</v>
      </c>
    </row>
    <row r="63" spans="17:32" ht="12.75">
      <c r="Q63" s="1" t="s">
        <v>811</v>
      </c>
      <c r="R63" s="1" t="s">
        <v>616</v>
      </c>
      <c r="S63" s="1" t="s">
        <v>910</v>
      </c>
      <c r="T63" s="1">
        <v>1</v>
      </c>
      <c r="U63" s="1">
        <v>63</v>
      </c>
      <c r="V63" s="1" t="s">
        <v>1632</v>
      </c>
      <c r="W63" s="1">
        <v>40</v>
      </c>
      <c r="X63" s="1">
        <v>170</v>
      </c>
      <c r="Y63" s="1" t="s">
        <v>811</v>
      </c>
      <c r="Z63" s="1" t="s">
        <v>925</v>
      </c>
      <c r="AA63" s="1" t="s">
        <v>927</v>
      </c>
      <c r="AB63" s="1" t="s">
        <v>515</v>
      </c>
      <c r="AC63" s="1" t="s">
        <v>1632</v>
      </c>
      <c r="AD63" s="1">
        <v>44561</v>
      </c>
      <c r="AE63" s="1">
        <v>44561</v>
      </c>
      <c r="AF63" s="1">
        <v>44561</v>
      </c>
    </row>
    <row r="64" spans="17:32" ht="12.75">
      <c r="Q64" s="1" t="s">
        <v>1067</v>
      </c>
      <c r="R64" s="1" t="s">
        <v>616</v>
      </c>
      <c r="S64" s="1" t="s">
        <v>910</v>
      </c>
      <c r="T64" s="1">
        <v>1</v>
      </c>
      <c r="U64" s="1">
        <v>64</v>
      </c>
      <c r="V64" s="1" t="s">
        <v>1633</v>
      </c>
      <c r="W64" s="1">
        <v>40</v>
      </c>
      <c r="X64" s="1">
        <v>170</v>
      </c>
      <c r="Y64" s="1" t="s">
        <v>1067</v>
      </c>
      <c r="Z64" s="1" t="s">
        <v>925</v>
      </c>
      <c r="AA64" s="1" t="s">
        <v>927</v>
      </c>
      <c r="AB64" s="1" t="s">
        <v>515</v>
      </c>
      <c r="AC64" s="1" t="s">
        <v>1633</v>
      </c>
      <c r="AD64" s="1">
        <v>44561</v>
      </c>
      <c r="AE64" s="1">
        <v>44561</v>
      </c>
      <c r="AF64" s="1">
        <v>44561</v>
      </c>
    </row>
    <row r="65" spans="17:32" ht="12.75">
      <c r="Q65" s="1" t="s">
        <v>812</v>
      </c>
      <c r="R65" s="1" t="s">
        <v>616</v>
      </c>
      <c r="S65" s="1" t="s">
        <v>910</v>
      </c>
      <c r="T65" s="1">
        <v>1</v>
      </c>
      <c r="U65" s="1">
        <v>65</v>
      </c>
      <c r="V65" s="1" t="s">
        <v>1634</v>
      </c>
      <c r="W65" s="1">
        <v>40</v>
      </c>
      <c r="X65" s="1">
        <v>170</v>
      </c>
      <c r="Y65" s="1" t="s">
        <v>812</v>
      </c>
      <c r="Z65" s="1" t="s">
        <v>925</v>
      </c>
      <c r="AA65" s="1" t="s">
        <v>927</v>
      </c>
      <c r="AB65" s="1" t="s">
        <v>515</v>
      </c>
      <c r="AC65" s="1" t="s">
        <v>1634</v>
      </c>
      <c r="AD65" s="1">
        <v>44561</v>
      </c>
      <c r="AE65" s="1">
        <v>44561</v>
      </c>
      <c r="AF65" s="1">
        <v>44561</v>
      </c>
    </row>
    <row r="66" spans="17:32" ht="12.75">
      <c r="Q66" s="1" t="s">
        <v>813</v>
      </c>
      <c r="R66" s="1" t="s">
        <v>616</v>
      </c>
      <c r="S66" s="1" t="s">
        <v>910</v>
      </c>
      <c r="T66" s="1">
        <v>1</v>
      </c>
      <c r="U66" s="1">
        <v>66</v>
      </c>
      <c r="V66" s="1" t="s">
        <v>1635</v>
      </c>
      <c r="W66" s="1">
        <v>40</v>
      </c>
      <c r="X66" s="1">
        <v>170</v>
      </c>
      <c r="Y66" s="1" t="s">
        <v>813</v>
      </c>
      <c r="Z66" s="1" t="s">
        <v>925</v>
      </c>
      <c r="AA66" s="1" t="s">
        <v>927</v>
      </c>
      <c r="AB66" s="1" t="s">
        <v>515</v>
      </c>
      <c r="AC66" s="1" t="s">
        <v>1635</v>
      </c>
      <c r="AD66" s="1">
        <v>44561</v>
      </c>
      <c r="AE66" s="1">
        <v>44561</v>
      </c>
      <c r="AF66" s="1">
        <v>44561</v>
      </c>
    </row>
    <row r="67" spans="17:32" ht="12.75">
      <c r="Q67" s="1" t="s">
        <v>814</v>
      </c>
      <c r="R67" s="1" t="s">
        <v>616</v>
      </c>
      <c r="S67" s="1" t="s">
        <v>910</v>
      </c>
      <c r="T67" s="1">
        <v>1</v>
      </c>
      <c r="U67" s="1">
        <v>67</v>
      </c>
      <c r="V67" s="1" t="s">
        <v>1636</v>
      </c>
      <c r="W67" s="1">
        <v>40</v>
      </c>
      <c r="X67" s="1">
        <v>170</v>
      </c>
      <c r="Y67" s="1" t="s">
        <v>814</v>
      </c>
      <c r="Z67" s="1" t="s">
        <v>925</v>
      </c>
      <c r="AA67" s="1" t="s">
        <v>927</v>
      </c>
      <c r="AB67" s="1" t="s">
        <v>515</v>
      </c>
      <c r="AC67" s="1" t="s">
        <v>1636</v>
      </c>
      <c r="AD67" s="1">
        <v>44561</v>
      </c>
      <c r="AE67" s="1">
        <v>44561</v>
      </c>
      <c r="AF67" s="1">
        <v>44561</v>
      </c>
    </row>
    <row r="68" spans="17:32" ht="12.75">
      <c r="Q68" s="1" t="s">
        <v>815</v>
      </c>
      <c r="R68" s="1" t="s">
        <v>616</v>
      </c>
      <c r="S68" s="1" t="s">
        <v>910</v>
      </c>
      <c r="T68" s="1">
        <v>1</v>
      </c>
      <c r="U68" s="1">
        <v>68</v>
      </c>
      <c r="V68" s="1" t="s">
        <v>1637</v>
      </c>
      <c r="W68" s="1">
        <v>40</v>
      </c>
      <c r="X68" s="1">
        <v>170</v>
      </c>
      <c r="Y68" s="1" t="s">
        <v>815</v>
      </c>
      <c r="Z68" s="1" t="s">
        <v>925</v>
      </c>
      <c r="AA68" s="1" t="s">
        <v>927</v>
      </c>
      <c r="AB68" s="1" t="s">
        <v>515</v>
      </c>
      <c r="AC68" s="1" t="s">
        <v>1637</v>
      </c>
      <c r="AD68" s="1">
        <v>44561</v>
      </c>
      <c r="AE68" s="1">
        <v>44561</v>
      </c>
      <c r="AF68" s="1">
        <v>44561</v>
      </c>
    </row>
    <row r="69" spans="17:32" ht="12.75">
      <c r="Q69" s="1" t="s">
        <v>816</v>
      </c>
      <c r="R69" s="1" t="s">
        <v>616</v>
      </c>
      <c r="S69" s="1" t="s">
        <v>910</v>
      </c>
      <c r="T69" s="1">
        <v>1</v>
      </c>
      <c r="U69" s="1">
        <v>69</v>
      </c>
      <c r="V69" s="1" t="s">
        <v>1638</v>
      </c>
      <c r="W69" s="1">
        <v>40</v>
      </c>
      <c r="X69" s="1">
        <v>170</v>
      </c>
      <c r="Y69" s="1" t="s">
        <v>816</v>
      </c>
      <c r="Z69" s="1" t="s">
        <v>925</v>
      </c>
      <c r="AA69" s="1" t="s">
        <v>927</v>
      </c>
      <c r="AB69" s="1" t="s">
        <v>515</v>
      </c>
      <c r="AC69" s="1" t="s">
        <v>1638</v>
      </c>
      <c r="AD69" s="1">
        <v>44561</v>
      </c>
      <c r="AE69" s="1">
        <v>44561</v>
      </c>
      <c r="AF69" s="1">
        <v>44561</v>
      </c>
    </row>
    <row r="70" spans="17:32" ht="12.75">
      <c r="Q70" s="1" t="s">
        <v>817</v>
      </c>
      <c r="R70" s="1" t="s">
        <v>616</v>
      </c>
      <c r="S70" s="1" t="s">
        <v>910</v>
      </c>
      <c r="T70" s="1">
        <v>1</v>
      </c>
      <c r="U70" s="1">
        <v>70</v>
      </c>
      <c r="V70" s="1" t="s">
        <v>529</v>
      </c>
      <c r="W70" s="1">
        <v>40</v>
      </c>
      <c r="X70" s="1">
        <v>170</v>
      </c>
      <c r="Y70" s="1" t="s">
        <v>817</v>
      </c>
      <c r="Z70" s="1" t="s">
        <v>925</v>
      </c>
      <c r="AA70" s="1" t="s">
        <v>927</v>
      </c>
      <c r="AB70" s="1" t="s">
        <v>515</v>
      </c>
      <c r="AC70" s="1" t="s">
        <v>529</v>
      </c>
      <c r="AD70" s="1">
        <v>44561</v>
      </c>
      <c r="AE70" s="1">
        <v>44561</v>
      </c>
      <c r="AF70" s="1">
        <v>44561</v>
      </c>
    </row>
    <row r="71" spans="17:32" ht="12.75">
      <c r="Q71" s="1" t="s">
        <v>818</v>
      </c>
      <c r="R71" s="1" t="s">
        <v>616</v>
      </c>
      <c r="S71" s="1" t="s">
        <v>910</v>
      </c>
      <c r="T71" s="1">
        <v>1</v>
      </c>
      <c r="U71" s="1">
        <v>71</v>
      </c>
      <c r="V71" s="1" t="s">
        <v>1639</v>
      </c>
      <c r="W71" s="1">
        <v>40</v>
      </c>
      <c r="X71" s="1">
        <v>170</v>
      </c>
      <c r="Y71" s="1" t="s">
        <v>818</v>
      </c>
      <c r="Z71" s="1" t="s">
        <v>925</v>
      </c>
      <c r="AA71" s="1" t="s">
        <v>927</v>
      </c>
      <c r="AB71" s="1" t="s">
        <v>515</v>
      </c>
      <c r="AC71" s="1" t="s">
        <v>1639</v>
      </c>
      <c r="AD71" s="1">
        <v>44561</v>
      </c>
      <c r="AE71" s="1">
        <v>44561</v>
      </c>
      <c r="AF71" s="1">
        <v>44561</v>
      </c>
    </row>
    <row r="72" spans="17:32" ht="12.75">
      <c r="Q72" s="1" t="s">
        <v>728</v>
      </c>
      <c r="R72" s="1" t="s">
        <v>616</v>
      </c>
      <c r="S72" s="1" t="s">
        <v>910</v>
      </c>
      <c r="T72" s="1">
        <v>1</v>
      </c>
      <c r="U72" s="1">
        <v>72</v>
      </c>
      <c r="V72" s="1" t="s">
        <v>643</v>
      </c>
      <c r="W72" s="1">
        <v>40</v>
      </c>
      <c r="X72" s="1">
        <v>170</v>
      </c>
      <c r="Y72" s="1" t="s">
        <v>728</v>
      </c>
      <c r="Z72" s="1" t="s">
        <v>925</v>
      </c>
      <c r="AA72" s="1" t="s">
        <v>927</v>
      </c>
      <c r="AB72" s="1" t="s">
        <v>515</v>
      </c>
      <c r="AC72" s="1" t="s">
        <v>643</v>
      </c>
      <c r="AD72" s="1">
        <v>44926</v>
      </c>
      <c r="AE72" s="1">
        <v>44926</v>
      </c>
      <c r="AF72" s="1">
        <v>44926</v>
      </c>
    </row>
    <row r="73" spans="17:32" ht="12.75">
      <c r="Q73" s="1" t="s">
        <v>730</v>
      </c>
      <c r="R73" s="1" t="s">
        <v>616</v>
      </c>
      <c r="S73" s="1" t="s">
        <v>910</v>
      </c>
      <c r="T73" s="1">
        <v>1</v>
      </c>
      <c r="U73" s="1">
        <v>73</v>
      </c>
      <c r="V73" s="1" t="s">
        <v>644</v>
      </c>
      <c r="W73" s="1">
        <v>40</v>
      </c>
      <c r="X73" s="1">
        <v>170</v>
      </c>
      <c r="Y73" s="1" t="s">
        <v>730</v>
      </c>
      <c r="Z73" s="1" t="s">
        <v>925</v>
      </c>
      <c r="AA73" s="1" t="s">
        <v>927</v>
      </c>
      <c r="AB73" s="1" t="s">
        <v>515</v>
      </c>
      <c r="AC73" s="1" t="s">
        <v>644</v>
      </c>
      <c r="AD73" s="1">
        <v>44926</v>
      </c>
      <c r="AE73" s="1">
        <v>44926</v>
      </c>
      <c r="AF73" s="1">
        <v>44926</v>
      </c>
    </row>
    <row r="74" spans="17:32" ht="12.75">
      <c r="Q74" s="1" t="s">
        <v>732</v>
      </c>
      <c r="R74" s="1" t="s">
        <v>616</v>
      </c>
      <c r="S74" s="1" t="s">
        <v>910</v>
      </c>
      <c r="T74" s="1">
        <v>1</v>
      </c>
      <c r="U74" s="1">
        <v>74</v>
      </c>
      <c r="V74" s="1" t="s">
        <v>645</v>
      </c>
      <c r="W74" s="1">
        <v>40</v>
      </c>
      <c r="X74" s="1">
        <v>170</v>
      </c>
      <c r="Y74" s="1" t="s">
        <v>732</v>
      </c>
      <c r="Z74" s="1" t="s">
        <v>925</v>
      </c>
      <c r="AA74" s="1" t="s">
        <v>927</v>
      </c>
      <c r="AB74" s="1" t="s">
        <v>515</v>
      </c>
      <c r="AC74" s="1" t="s">
        <v>645</v>
      </c>
      <c r="AD74" s="1">
        <v>44926</v>
      </c>
      <c r="AE74" s="1">
        <v>44926</v>
      </c>
      <c r="AF74" s="1">
        <v>44926</v>
      </c>
    </row>
    <row r="75" spans="17:32" ht="12.75">
      <c r="Q75" s="1" t="s">
        <v>734</v>
      </c>
      <c r="R75" s="1" t="s">
        <v>616</v>
      </c>
      <c r="S75" s="1" t="s">
        <v>910</v>
      </c>
      <c r="T75" s="1">
        <v>1</v>
      </c>
      <c r="U75" s="1">
        <v>75</v>
      </c>
      <c r="V75" s="1" t="s">
        <v>646</v>
      </c>
      <c r="W75" s="1">
        <v>40</v>
      </c>
      <c r="X75" s="1">
        <v>170</v>
      </c>
      <c r="Y75" s="1" t="s">
        <v>734</v>
      </c>
      <c r="Z75" s="1" t="s">
        <v>925</v>
      </c>
      <c r="AA75" s="1" t="s">
        <v>927</v>
      </c>
      <c r="AB75" s="1" t="s">
        <v>515</v>
      </c>
      <c r="AC75" s="1" t="s">
        <v>646</v>
      </c>
      <c r="AD75" s="1">
        <v>44926</v>
      </c>
      <c r="AE75" s="1">
        <v>44926</v>
      </c>
      <c r="AF75" s="1">
        <v>44926</v>
      </c>
    </row>
    <row r="76" spans="17:32" ht="12.75">
      <c r="Q76" s="1" t="s">
        <v>1024</v>
      </c>
      <c r="R76" s="1" t="s">
        <v>616</v>
      </c>
      <c r="S76" s="1" t="s">
        <v>910</v>
      </c>
      <c r="T76" s="1">
        <v>1</v>
      </c>
      <c r="U76" s="1">
        <v>76</v>
      </c>
      <c r="V76" s="1" t="s">
        <v>1640</v>
      </c>
      <c r="W76" s="1">
        <v>40</v>
      </c>
      <c r="X76" s="1">
        <v>170</v>
      </c>
      <c r="Y76" s="1" t="s">
        <v>1024</v>
      </c>
      <c r="Z76" s="1" t="s">
        <v>925</v>
      </c>
      <c r="AA76" s="1" t="s">
        <v>927</v>
      </c>
      <c r="AB76" s="1" t="s">
        <v>515</v>
      </c>
      <c r="AC76" s="1" t="s">
        <v>1640</v>
      </c>
      <c r="AD76" s="1">
        <v>44926</v>
      </c>
      <c r="AE76" s="1">
        <v>44926</v>
      </c>
      <c r="AF76" s="1">
        <v>44926</v>
      </c>
    </row>
    <row r="77" spans="17:32" ht="12.75">
      <c r="Q77" s="1" t="s">
        <v>1641</v>
      </c>
      <c r="R77" s="1" t="s">
        <v>627</v>
      </c>
      <c r="S77" s="1" t="s">
        <v>910</v>
      </c>
      <c r="T77" s="1">
        <v>2</v>
      </c>
      <c r="U77" s="1">
        <v>77</v>
      </c>
      <c r="V77" s="1" t="s">
        <v>515</v>
      </c>
      <c r="W77" s="1">
        <v>40</v>
      </c>
      <c r="X77" s="1">
        <v>170</v>
      </c>
      <c r="Y77" s="1" t="s">
        <v>1183</v>
      </c>
      <c r="Z77" s="1" t="s">
        <v>925</v>
      </c>
      <c r="AA77" s="1" t="s">
        <v>927</v>
      </c>
      <c r="AB77" s="1" t="s">
        <v>515</v>
      </c>
      <c r="AD77" s="1">
        <v>44561</v>
      </c>
      <c r="AE77" s="1">
        <v>44561</v>
      </c>
      <c r="AF77" s="1">
        <v>44561</v>
      </c>
    </row>
    <row r="78" spans="17:32" ht="12.75">
      <c r="Q78" s="1" t="s">
        <v>781</v>
      </c>
      <c r="R78" s="1" t="s">
        <v>616</v>
      </c>
      <c r="S78" s="1" t="s">
        <v>910</v>
      </c>
      <c r="T78" s="1">
        <v>1</v>
      </c>
      <c r="U78" s="1">
        <v>78</v>
      </c>
      <c r="V78" s="1" t="s">
        <v>1642</v>
      </c>
      <c r="W78" s="1">
        <v>40</v>
      </c>
      <c r="X78" s="1">
        <v>180</v>
      </c>
      <c r="Y78" s="1" t="s">
        <v>781</v>
      </c>
      <c r="Z78" s="1" t="s">
        <v>925</v>
      </c>
      <c r="AA78" s="1" t="s">
        <v>927</v>
      </c>
      <c r="AB78" s="1" t="s">
        <v>516</v>
      </c>
      <c r="AC78" s="1" t="s">
        <v>1642</v>
      </c>
      <c r="AD78" s="1">
        <v>44561</v>
      </c>
      <c r="AE78" s="1">
        <v>44561</v>
      </c>
      <c r="AF78" s="1">
        <v>44561</v>
      </c>
    </row>
    <row r="79" spans="17:32" ht="12.75">
      <c r="Q79" s="1" t="s">
        <v>782</v>
      </c>
      <c r="R79" s="1" t="s">
        <v>616</v>
      </c>
      <c r="S79" s="1" t="s">
        <v>910</v>
      </c>
      <c r="T79" s="1">
        <v>1</v>
      </c>
      <c r="U79" s="1">
        <v>79</v>
      </c>
      <c r="V79" s="1" t="s">
        <v>1643</v>
      </c>
      <c r="W79" s="1">
        <v>40</v>
      </c>
      <c r="X79" s="1">
        <v>180</v>
      </c>
      <c r="Y79" s="1" t="s">
        <v>782</v>
      </c>
      <c r="Z79" s="1" t="s">
        <v>925</v>
      </c>
      <c r="AA79" s="1" t="s">
        <v>927</v>
      </c>
      <c r="AB79" s="1" t="s">
        <v>516</v>
      </c>
      <c r="AC79" s="1" t="s">
        <v>1643</v>
      </c>
      <c r="AD79" s="1">
        <v>44561</v>
      </c>
      <c r="AE79" s="1">
        <v>44561</v>
      </c>
      <c r="AF79" s="1">
        <v>44561</v>
      </c>
    </row>
    <row r="80" spans="17:32" ht="12.75">
      <c r="Q80" s="1" t="s">
        <v>783</v>
      </c>
      <c r="R80" s="1" t="s">
        <v>616</v>
      </c>
      <c r="S80" s="1" t="s">
        <v>910</v>
      </c>
      <c r="T80" s="1">
        <v>1</v>
      </c>
      <c r="U80" s="1">
        <v>80</v>
      </c>
      <c r="V80" s="1" t="s">
        <v>1644</v>
      </c>
      <c r="W80" s="1">
        <v>40</v>
      </c>
      <c r="X80" s="1">
        <v>180</v>
      </c>
      <c r="Y80" s="1" t="s">
        <v>783</v>
      </c>
      <c r="Z80" s="1" t="s">
        <v>925</v>
      </c>
      <c r="AA80" s="1" t="s">
        <v>927</v>
      </c>
      <c r="AB80" s="1" t="s">
        <v>516</v>
      </c>
      <c r="AC80" s="1" t="s">
        <v>1644</v>
      </c>
      <c r="AD80" s="1">
        <v>44561</v>
      </c>
      <c r="AE80" s="1">
        <v>44561</v>
      </c>
      <c r="AF80" s="1">
        <v>44561</v>
      </c>
    </row>
    <row r="81" spans="17:32" ht="12.75">
      <c r="Q81" s="1" t="s">
        <v>784</v>
      </c>
      <c r="R81" s="1" t="s">
        <v>616</v>
      </c>
      <c r="S81" s="1" t="s">
        <v>910</v>
      </c>
      <c r="T81" s="1">
        <v>1</v>
      </c>
      <c r="U81" s="1">
        <v>81</v>
      </c>
      <c r="V81" s="1" t="s">
        <v>1645</v>
      </c>
      <c r="W81" s="1">
        <v>40</v>
      </c>
      <c r="X81" s="1">
        <v>180</v>
      </c>
      <c r="Y81" s="1" t="s">
        <v>784</v>
      </c>
      <c r="Z81" s="1" t="s">
        <v>925</v>
      </c>
      <c r="AA81" s="1" t="s">
        <v>927</v>
      </c>
      <c r="AB81" s="1" t="s">
        <v>516</v>
      </c>
      <c r="AC81" s="1" t="s">
        <v>1645</v>
      </c>
      <c r="AD81" s="1">
        <v>44561</v>
      </c>
      <c r="AE81" s="1">
        <v>44561</v>
      </c>
      <c r="AF81" s="1">
        <v>44561</v>
      </c>
    </row>
    <row r="82" spans="17:32" ht="12.75">
      <c r="Q82" s="1" t="s">
        <v>785</v>
      </c>
      <c r="R82" s="1" t="s">
        <v>616</v>
      </c>
      <c r="S82" s="1" t="s">
        <v>910</v>
      </c>
      <c r="T82" s="1">
        <v>1</v>
      </c>
      <c r="U82" s="1">
        <v>82</v>
      </c>
      <c r="V82" s="1" t="s">
        <v>1646</v>
      </c>
      <c r="W82" s="1">
        <v>40</v>
      </c>
      <c r="X82" s="1">
        <v>180</v>
      </c>
      <c r="Y82" s="1" t="s">
        <v>785</v>
      </c>
      <c r="Z82" s="1" t="s">
        <v>925</v>
      </c>
      <c r="AA82" s="1" t="s">
        <v>927</v>
      </c>
      <c r="AB82" s="1" t="s">
        <v>516</v>
      </c>
      <c r="AC82" s="1" t="s">
        <v>1646</v>
      </c>
      <c r="AD82" s="1">
        <v>44561</v>
      </c>
      <c r="AE82" s="1">
        <v>44561</v>
      </c>
      <c r="AF82" s="1">
        <v>44561</v>
      </c>
    </row>
    <row r="83" spans="17:32" ht="12.75">
      <c r="Q83" s="1" t="s">
        <v>786</v>
      </c>
      <c r="R83" s="1" t="s">
        <v>616</v>
      </c>
      <c r="S83" s="1" t="s">
        <v>910</v>
      </c>
      <c r="T83" s="1">
        <v>1</v>
      </c>
      <c r="U83" s="1">
        <v>83</v>
      </c>
      <c r="V83" s="1" t="s">
        <v>1647</v>
      </c>
      <c r="W83" s="1">
        <v>40</v>
      </c>
      <c r="X83" s="1">
        <v>180</v>
      </c>
      <c r="Y83" s="1" t="s">
        <v>786</v>
      </c>
      <c r="Z83" s="1" t="s">
        <v>925</v>
      </c>
      <c r="AA83" s="1" t="s">
        <v>927</v>
      </c>
      <c r="AB83" s="1" t="s">
        <v>516</v>
      </c>
      <c r="AC83" s="1" t="s">
        <v>1647</v>
      </c>
      <c r="AD83" s="1">
        <v>44561</v>
      </c>
      <c r="AE83" s="1">
        <v>44561</v>
      </c>
      <c r="AF83" s="1">
        <v>44561</v>
      </c>
    </row>
    <row r="84" spans="17:32" ht="12.75">
      <c r="Q84" s="1" t="s">
        <v>736</v>
      </c>
      <c r="R84" s="1" t="s">
        <v>616</v>
      </c>
      <c r="S84" s="1" t="s">
        <v>910</v>
      </c>
      <c r="T84" s="1">
        <v>1</v>
      </c>
      <c r="U84" s="1">
        <v>84</v>
      </c>
      <c r="V84" s="1" t="s">
        <v>647</v>
      </c>
      <c r="W84" s="1">
        <v>40</v>
      </c>
      <c r="X84" s="1">
        <v>180</v>
      </c>
      <c r="Y84" s="1" t="s">
        <v>736</v>
      </c>
      <c r="Z84" s="1" t="s">
        <v>925</v>
      </c>
      <c r="AA84" s="1" t="s">
        <v>927</v>
      </c>
      <c r="AB84" s="1" t="s">
        <v>516</v>
      </c>
      <c r="AC84" s="1" t="s">
        <v>647</v>
      </c>
      <c r="AD84" s="1">
        <v>44926</v>
      </c>
      <c r="AE84" s="1">
        <v>44926</v>
      </c>
      <c r="AF84" s="1">
        <v>44926</v>
      </c>
    </row>
    <row r="85" spans="17:32" ht="12.75">
      <c r="Q85" s="1" t="s">
        <v>738</v>
      </c>
      <c r="R85" s="1" t="s">
        <v>616</v>
      </c>
      <c r="S85" s="1" t="s">
        <v>910</v>
      </c>
      <c r="T85" s="1">
        <v>1</v>
      </c>
      <c r="U85" s="1">
        <v>85</v>
      </c>
      <c r="V85" s="1" t="s">
        <v>648</v>
      </c>
      <c r="W85" s="1">
        <v>40</v>
      </c>
      <c r="X85" s="1">
        <v>180</v>
      </c>
      <c r="Y85" s="1" t="s">
        <v>738</v>
      </c>
      <c r="Z85" s="1" t="s">
        <v>925</v>
      </c>
      <c r="AA85" s="1" t="s">
        <v>927</v>
      </c>
      <c r="AB85" s="1" t="s">
        <v>516</v>
      </c>
      <c r="AC85" s="1" t="s">
        <v>648</v>
      </c>
      <c r="AD85" s="1">
        <v>44926</v>
      </c>
      <c r="AE85" s="1">
        <v>44926</v>
      </c>
      <c r="AF85" s="1">
        <v>44926</v>
      </c>
    </row>
    <row r="86" spans="17:32" ht="12.75">
      <c r="Q86" s="1" t="s">
        <v>740</v>
      </c>
      <c r="R86" s="1" t="s">
        <v>616</v>
      </c>
      <c r="S86" s="1" t="s">
        <v>910</v>
      </c>
      <c r="T86" s="1">
        <v>1</v>
      </c>
      <c r="U86" s="1">
        <v>86</v>
      </c>
      <c r="V86" s="1" t="s">
        <v>649</v>
      </c>
      <c r="W86" s="1">
        <v>40</v>
      </c>
      <c r="X86" s="1">
        <v>180</v>
      </c>
      <c r="Y86" s="1" t="s">
        <v>740</v>
      </c>
      <c r="Z86" s="1" t="s">
        <v>925</v>
      </c>
      <c r="AA86" s="1" t="s">
        <v>927</v>
      </c>
      <c r="AB86" s="1" t="s">
        <v>516</v>
      </c>
      <c r="AC86" s="1" t="s">
        <v>649</v>
      </c>
      <c r="AD86" s="1">
        <v>44926</v>
      </c>
      <c r="AE86" s="1">
        <v>44926</v>
      </c>
      <c r="AF86" s="1">
        <v>44926</v>
      </c>
    </row>
    <row r="87" spans="17:32" ht="12.75">
      <c r="Q87" s="1" t="s">
        <v>1648</v>
      </c>
      <c r="R87" s="1" t="s">
        <v>627</v>
      </c>
      <c r="S87" s="1" t="s">
        <v>910</v>
      </c>
      <c r="T87" s="1">
        <v>2</v>
      </c>
      <c r="U87" s="1">
        <v>87</v>
      </c>
      <c r="V87" s="1" t="s">
        <v>516</v>
      </c>
      <c r="W87" s="1">
        <v>40</v>
      </c>
      <c r="X87" s="1">
        <v>180</v>
      </c>
      <c r="Y87" s="1" t="s">
        <v>1183</v>
      </c>
      <c r="Z87" s="1" t="s">
        <v>925</v>
      </c>
      <c r="AA87" s="1" t="s">
        <v>927</v>
      </c>
      <c r="AB87" s="1" t="s">
        <v>516</v>
      </c>
      <c r="AD87" s="1">
        <v>44561</v>
      </c>
      <c r="AE87" s="1">
        <v>44561</v>
      </c>
      <c r="AF87" s="1">
        <v>44561</v>
      </c>
    </row>
    <row r="88" spans="17:32" ht="12.75">
      <c r="Q88" s="1" t="s">
        <v>787</v>
      </c>
      <c r="R88" s="1" t="s">
        <v>616</v>
      </c>
      <c r="S88" s="1" t="s">
        <v>910</v>
      </c>
      <c r="T88" s="1">
        <v>1</v>
      </c>
      <c r="U88" s="1">
        <v>88</v>
      </c>
      <c r="V88" s="1" t="s">
        <v>1649</v>
      </c>
      <c r="W88" s="1">
        <v>40</v>
      </c>
      <c r="X88" s="1">
        <v>190</v>
      </c>
      <c r="Y88" s="1" t="s">
        <v>787</v>
      </c>
      <c r="Z88" s="1" t="s">
        <v>925</v>
      </c>
      <c r="AA88" s="1" t="s">
        <v>927</v>
      </c>
      <c r="AB88" s="1" t="s">
        <v>517</v>
      </c>
      <c r="AC88" s="1" t="s">
        <v>1649</v>
      </c>
      <c r="AD88" s="1">
        <v>44561</v>
      </c>
      <c r="AE88" s="1">
        <v>44561</v>
      </c>
      <c r="AF88" s="1">
        <v>44561</v>
      </c>
    </row>
    <row r="89" spans="17:32" ht="12.75">
      <c r="Q89" s="1" t="s">
        <v>789</v>
      </c>
      <c r="R89" s="1" t="s">
        <v>616</v>
      </c>
      <c r="S89" s="1" t="s">
        <v>910</v>
      </c>
      <c r="T89" s="1">
        <v>1</v>
      </c>
      <c r="U89" s="1">
        <v>89</v>
      </c>
      <c r="V89" s="1" t="s">
        <v>1650</v>
      </c>
      <c r="W89" s="1">
        <v>40</v>
      </c>
      <c r="X89" s="1">
        <v>190</v>
      </c>
      <c r="Y89" s="1" t="s">
        <v>789</v>
      </c>
      <c r="Z89" s="1" t="s">
        <v>925</v>
      </c>
      <c r="AA89" s="1" t="s">
        <v>927</v>
      </c>
      <c r="AB89" s="1" t="s">
        <v>517</v>
      </c>
      <c r="AC89" s="1" t="s">
        <v>1650</v>
      </c>
      <c r="AD89" s="1">
        <v>44561</v>
      </c>
      <c r="AE89" s="1">
        <v>44561</v>
      </c>
      <c r="AF89" s="1">
        <v>44561</v>
      </c>
    </row>
    <row r="90" spans="17:32" ht="12.75">
      <c r="Q90" s="1" t="s">
        <v>790</v>
      </c>
      <c r="R90" s="1" t="s">
        <v>616</v>
      </c>
      <c r="S90" s="1" t="s">
        <v>910</v>
      </c>
      <c r="T90" s="1">
        <v>1</v>
      </c>
      <c r="U90" s="1">
        <v>90</v>
      </c>
      <c r="V90" s="1" t="s">
        <v>1651</v>
      </c>
      <c r="W90" s="1">
        <v>40</v>
      </c>
      <c r="X90" s="1">
        <v>190</v>
      </c>
      <c r="Y90" s="1" t="s">
        <v>790</v>
      </c>
      <c r="Z90" s="1" t="s">
        <v>925</v>
      </c>
      <c r="AA90" s="1" t="s">
        <v>927</v>
      </c>
      <c r="AB90" s="1" t="s">
        <v>517</v>
      </c>
      <c r="AC90" s="1" t="s">
        <v>1651</v>
      </c>
      <c r="AD90" s="1">
        <v>44561</v>
      </c>
      <c r="AE90" s="1">
        <v>44561</v>
      </c>
      <c r="AF90" s="1">
        <v>44561</v>
      </c>
    </row>
    <row r="91" spans="17:32" ht="12.75">
      <c r="Q91" s="1" t="s">
        <v>793</v>
      </c>
      <c r="R91" s="1" t="s">
        <v>616</v>
      </c>
      <c r="S91" s="1" t="s">
        <v>910</v>
      </c>
      <c r="T91" s="1">
        <v>1</v>
      </c>
      <c r="U91" s="1">
        <v>91</v>
      </c>
      <c r="V91" s="1" t="s">
        <v>1652</v>
      </c>
      <c r="W91" s="1">
        <v>40</v>
      </c>
      <c r="X91" s="1">
        <v>190</v>
      </c>
      <c r="Y91" s="1" t="s">
        <v>793</v>
      </c>
      <c r="Z91" s="1" t="s">
        <v>925</v>
      </c>
      <c r="AA91" s="1" t="s">
        <v>927</v>
      </c>
      <c r="AB91" s="1" t="s">
        <v>517</v>
      </c>
      <c r="AC91" s="1" t="s">
        <v>1652</v>
      </c>
      <c r="AD91" s="1">
        <v>44561</v>
      </c>
      <c r="AE91" s="1">
        <v>44561</v>
      </c>
      <c r="AF91" s="1">
        <v>44561</v>
      </c>
    </row>
    <row r="92" spans="17:32" ht="12.75">
      <c r="Q92" s="1" t="s">
        <v>742</v>
      </c>
      <c r="R92" s="1" t="s">
        <v>616</v>
      </c>
      <c r="S92" s="1" t="s">
        <v>910</v>
      </c>
      <c r="T92" s="1">
        <v>1</v>
      </c>
      <c r="U92" s="1">
        <v>92</v>
      </c>
      <c r="V92" s="1" t="s">
        <v>650</v>
      </c>
      <c r="W92" s="1">
        <v>40</v>
      </c>
      <c r="X92" s="1">
        <v>190</v>
      </c>
      <c r="Y92" s="1" t="s">
        <v>742</v>
      </c>
      <c r="Z92" s="1" t="s">
        <v>925</v>
      </c>
      <c r="AA92" s="1" t="s">
        <v>927</v>
      </c>
      <c r="AB92" s="1" t="s">
        <v>517</v>
      </c>
      <c r="AC92" s="1" t="s">
        <v>650</v>
      </c>
      <c r="AD92" s="1">
        <v>44926</v>
      </c>
      <c r="AE92" s="1">
        <v>44926</v>
      </c>
      <c r="AF92" s="1">
        <v>44926</v>
      </c>
    </row>
    <row r="93" spans="17:32" ht="12.75">
      <c r="Q93" s="1" t="s">
        <v>744</v>
      </c>
      <c r="R93" s="1" t="s">
        <v>616</v>
      </c>
      <c r="S93" s="1" t="s">
        <v>910</v>
      </c>
      <c r="T93" s="1">
        <v>1</v>
      </c>
      <c r="U93" s="1">
        <v>93</v>
      </c>
      <c r="V93" s="1" t="s">
        <v>651</v>
      </c>
      <c r="W93" s="1">
        <v>40</v>
      </c>
      <c r="X93" s="1">
        <v>190</v>
      </c>
      <c r="Y93" s="1" t="s">
        <v>744</v>
      </c>
      <c r="Z93" s="1" t="s">
        <v>925</v>
      </c>
      <c r="AA93" s="1" t="s">
        <v>927</v>
      </c>
      <c r="AB93" s="1" t="s">
        <v>517</v>
      </c>
      <c r="AC93" s="1" t="s">
        <v>651</v>
      </c>
      <c r="AD93" s="1">
        <v>44926</v>
      </c>
      <c r="AE93" s="1">
        <v>44926</v>
      </c>
      <c r="AF93" s="1">
        <v>44926</v>
      </c>
    </row>
    <row r="94" spans="17:32" ht="12.75">
      <c r="Q94" s="1" t="s">
        <v>746</v>
      </c>
      <c r="R94" s="1" t="s">
        <v>616</v>
      </c>
      <c r="S94" s="1" t="s">
        <v>910</v>
      </c>
      <c r="T94" s="1">
        <v>1</v>
      </c>
      <c r="U94" s="1">
        <v>94</v>
      </c>
      <c r="V94" s="1" t="s">
        <v>652</v>
      </c>
      <c r="W94" s="1">
        <v>40</v>
      </c>
      <c r="X94" s="1">
        <v>190</v>
      </c>
      <c r="Y94" s="1" t="s">
        <v>746</v>
      </c>
      <c r="Z94" s="1" t="s">
        <v>925</v>
      </c>
      <c r="AA94" s="1" t="s">
        <v>927</v>
      </c>
      <c r="AB94" s="1" t="s">
        <v>517</v>
      </c>
      <c r="AC94" s="1" t="s">
        <v>652</v>
      </c>
      <c r="AD94" s="1">
        <v>44926</v>
      </c>
      <c r="AE94" s="1">
        <v>44926</v>
      </c>
      <c r="AF94" s="1">
        <v>44926</v>
      </c>
    </row>
    <row r="95" spans="17:32" ht="12.75">
      <c r="Q95" s="1" t="s">
        <v>748</v>
      </c>
      <c r="R95" s="1" t="s">
        <v>616</v>
      </c>
      <c r="S95" s="1" t="s">
        <v>910</v>
      </c>
      <c r="T95" s="1">
        <v>1</v>
      </c>
      <c r="U95" s="1">
        <v>95</v>
      </c>
      <c r="V95" s="1" t="s">
        <v>653</v>
      </c>
      <c r="W95" s="1">
        <v>40</v>
      </c>
      <c r="X95" s="1">
        <v>190</v>
      </c>
      <c r="Y95" s="1" t="s">
        <v>748</v>
      </c>
      <c r="Z95" s="1" t="s">
        <v>925</v>
      </c>
      <c r="AA95" s="1" t="s">
        <v>927</v>
      </c>
      <c r="AB95" s="1" t="s">
        <v>517</v>
      </c>
      <c r="AC95" s="1" t="s">
        <v>653</v>
      </c>
      <c r="AD95" s="1">
        <v>44926</v>
      </c>
      <c r="AE95" s="1">
        <v>44926</v>
      </c>
      <c r="AF95" s="1">
        <v>44926</v>
      </c>
    </row>
    <row r="96" spans="17:32" ht="12.75">
      <c r="Q96" s="1" t="s">
        <v>750</v>
      </c>
      <c r="R96" s="1" t="s">
        <v>616</v>
      </c>
      <c r="S96" s="1" t="s">
        <v>910</v>
      </c>
      <c r="T96" s="1">
        <v>1</v>
      </c>
      <c r="U96" s="1">
        <v>96</v>
      </c>
      <c r="V96" s="1" t="s">
        <v>654</v>
      </c>
      <c r="W96" s="1">
        <v>40</v>
      </c>
      <c r="X96" s="1">
        <v>190</v>
      </c>
      <c r="Y96" s="1" t="s">
        <v>750</v>
      </c>
      <c r="Z96" s="1" t="s">
        <v>925</v>
      </c>
      <c r="AA96" s="1" t="s">
        <v>927</v>
      </c>
      <c r="AB96" s="1" t="s">
        <v>517</v>
      </c>
      <c r="AC96" s="1" t="s">
        <v>654</v>
      </c>
      <c r="AD96" s="1">
        <v>44926</v>
      </c>
      <c r="AE96" s="1">
        <v>44926</v>
      </c>
      <c r="AF96" s="1">
        <v>44926</v>
      </c>
    </row>
    <row r="97" spans="17:32" ht="12.75">
      <c r="Q97" s="1" t="s">
        <v>752</v>
      </c>
      <c r="R97" s="1" t="s">
        <v>616</v>
      </c>
      <c r="S97" s="1" t="s">
        <v>910</v>
      </c>
      <c r="T97" s="1">
        <v>1</v>
      </c>
      <c r="U97" s="1">
        <v>97</v>
      </c>
      <c r="V97" s="1" t="s">
        <v>655</v>
      </c>
      <c r="W97" s="1">
        <v>40</v>
      </c>
      <c r="X97" s="1">
        <v>190</v>
      </c>
      <c r="Y97" s="1" t="s">
        <v>752</v>
      </c>
      <c r="Z97" s="1" t="s">
        <v>925</v>
      </c>
      <c r="AA97" s="1" t="s">
        <v>927</v>
      </c>
      <c r="AB97" s="1" t="s">
        <v>517</v>
      </c>
      <c r="AC97" s="1" t="s">
        <v>655</v>
      </c>
      <c r="AD97" s="1">
        <v>44926</v>
      </c>
      <c r="AE97" s="1">
        <v>44926</v>
      </c>
      <c r="AF97" s="1">
        <v>44926</v>
      </c>
    </row>
    <row r="98" spans="17:32" ht="12.75">
      <c r="Q98" s="1" t="s">
        <v>754</v>
      </c>
      <c r="R98" s="1" t="s">
        <v>616</v>
      </c>
      <c r="S98" s="1" t="s">
        <v>910</v>
      </c>
      <c r="T98" s="1">
        <v>1</v>
      </c>
      <c r="U98" s="1">
        <v>98</v>
      </c>
      <c r="V98" s="1" t="s">
        <v>656</v>
      </c>
      <c r="W98" s="1">
        <v>40</v>
      </c>
      <c r="X98" s="1">
        <v>190</v>
      </c>
      <c r="Y98" s="1" t="s">
        <v>754</v>
      </c>
      <c r="Z98" s="1" t="s">
        <v>925</v>
      </c>
      <c r="AA98" s="1" t="s">
        <v>927</v>
      </c>
      <c r="AB98" s="1" t="s">
        <v>517</v>
      </c>
      <c r="AC98" s="1" t="s">
        <v>656</v>
      </c>
      <c r="AD98" s="1">
        <v>44926</v>
      </c>
      <c r="AE98" s="1">
        <v>44926</v>
      </c>
      <c r="AF98" s="1">
        <v>44926</v>
      </c>
    </row>
    <row r="99" spans="17:32" ht="12.75">
      <c r="Q99" s="1" t="s">
        <v>756</v>
      </c>
      <c r="R99" s="1" t="s">
        <v>616</v>
      </c>
      <c r="S99" s="1" t="s">
        <v>910</v>
      </c>
      <c r="T99" s="1">
        <v>1</v>
      </c>
      <c r="U99" s="1">
        <v>99</v>
      </c>
      <c r="V99" s="1" t="s">
        <v>657</v>
      </c>
      <c r="W99" s="1">
        <v>40</v>
      </c>
      <c r="X99" s="1">
        <v>190</v>
      </c>
      <c r="Y99" s="1" t="s">
        <v>756</v>
      </c>
      <c r="Z99" s="1" t="s">
        <v>925</v>
      </c>
      <c r="AA99" s="1" t="s">
        <v>927</v>
      </c>
      <c r="AB99" s="1" t="s">
        <v>517</v>
      </c>
      <c r="AC99" s="1" t="s">
        <v>657</v>
      </c>
      <c r="AD99" s="1">
        <v>44926</v>
      </c>
      <c r="AE99" s="1">
        <v>44926</v>
      </c>
      <c r="AF99" s="1">
        <v>44926</v>
      </c>
    </row>
    <row r="100" spans="17:32" ht="12.75">
      <c r="Q100" s="1" t="s">
        <v>1653</v>
      </c>
      <c r="R100" s="1" t="s">
        <v>627</v>
      </c>
      <c r="S100" s="1" t="s">
        <v>910</v>
      </c>
      <c r="T100" s="1">
        <v>2</v>
      </c>
      <c r="U100" s="1">
        <v>100</v>
      </c>
      <c r="V100" s="1" t="s">
        <v>517</v>
      </c>
      <c r="W100" s="1">
        <v>40</v>
      </c>
      <c r="X100" s="1">
        <v>190</v>
      </c>
      <c r="Y100" s="1" t="s">
        <v>1183</v>
      </c>
      <c r="Z100" s="1" t="s">
        <v>925</v>
      </c>
      <c r="AA100" s="1" t="s">
        <v>927</v>
      </c>
      <c r="AB100" s="1" t="s">
        <v>517</v>
      </c>
      <c r="AD100" s="1">
        <v>44561</v>
      </c>
      <c r="AE100" s="1">
        <v>44561</v>
      </c>
      <c r="AF100" s="1">
        <v>44561</v>
      </c>
    </row>
    <row r="101" spans="17:29" ht="12.75">
      <c r="Q101" s="1" t="s">
        <v>904</v>
      </c>
      <c r="R101" s="1" t="s">
        <v>616</v>
      </c>
      <c r="S101" s="1" t="s">
        <v>910</v>
      </c>
      <c r="T101" s="1">
        <v>1</v>
      </c>
      <c r="U101" s="1">
        <v>101</v>
      </c>
      <c r="V101" s="1" t="s">
        <v>1654</v>
      </c>
      <c r="W101" s="1">
        <v>40</v>
      </c>
      <c r="X101" s="1">
        <v>200</v>
      </c>
      <c r="Y101" s="1" t="s">
        <v>904</v>
      </c>
      <c r="Z101" s="1" t="s">
        <v>925</v>
      </c>
      <c r="AA101" s="1" t="s">
        <v>927</v>
      </c>
      <c r="AB101" s="1" t="s">
        <v>518</v>
      </c>
      <c r="AC101" s="1" t="s">
        <v>1654</v>
      </c>
    </row>
    <row r="102" spans="17:32" ht="12.75">
      <c r="Q102" s="1" t="s">
        <v>713</v>
      </c>
      <c r="R102" s="1" t="s">
        <v>616</v>
      </c>
      <c r="S102" s="1" t="s">
        <v>910</v>
      </c>
      <c r="T102" s="1">
        <v>1</v>
      </c>
      <c r="U102" s="1">
        <v>102</v>
      </c>
      <c r="V102" s="1" t="s">
        <v>1655</v>
      </c>
      <c r="W102" s="1">
        <v>40</v>
      </c>
      <c r="X102" s="1">
        <v>200</v>
      </c>
      <c r="Y102" s="1" t="s">
        <v>713</v>
      </c>
      <c r="Z102" s="1" t="s">
        <v>925</v>
      </c>
      <c r="AA102" s="1" t="s">
        <v>927</v>
      </c>
      <c r="AB102" s="1" t="s">
        <v>518</v>
      </c>
      <c r="AC102" s="1" t="s">
        <v>1655</v>
      </c>
      <c r="AD102" s="1">
        <v>44561</v>
      </c>
      <c r="AE102" s="1">
        <v>44561</v>
      </c>
      <c r="AF102" s="1">
        <v>44561</v>
      </c>
    </row>
    <row r="103" spans="17:32" ht="12.75">
      <c r="Q103" s="1" t="s">
        <v>769</v>
      </c>
      <c r="R103" s="1" t="s">
        <v>616</v>
      </c>
      <c r="S103" s="1" t="s">
        <v>910</v>
      </c>
      <c r="T103" s="1">
        <v>1</v>
      </c>
      <c r="U103" s="1">
        <v>103</v>
      </c>
      <c r="V103" s="1" t="s">
        <v>1656</v>
      </c>
      <c r="W103" s="1">
        <v>40</v>
      </c>
      <c r="X103" s="1">
        <v>200</v>
      </c>
      <c r="Y103" s="1" t="s">
        <v>769</v>
      </c>
      <c r="Z103" s="1" t="s">
        <v>925</v>
      </c>
      <c r="AA103" s="1" t="s">
        <v>927</v>
      </c>
      <c r="AB103" s="1" t="s">
        <v>518</v>
      </c>
      <c r="AC103" s="1" t="s">
        <v>1656</v>
      </c>
      <c r="AD103" s="1">
        <v>44561</v>
      </c>
      <c r="AE103" s="1">
        <v>44561</v>
      </c>
      <c r="AF103" s="1">
        <v>44561</v>
      </c>
    </row>
    <row r="104" spans="17:32" ht="12.75">
      <c r="Q104" s="1" t="s">
        <v>770</v>
      </c>
      <c r="R104" s="1" t="s">
        <v>616</v>
      </c>
      <c r="S104" s="1" t="s">
        <v>910</v>
      </c>
      <c r="T104" s="1">
        <v>1</v>
      </c>
      <c r="U104" s="1">
        <v>104</v>
      </c>
      <c r="V104" s="1" t="s">
        <v>1657</v>
      </c>
      <c r="W104" s="1">
        <v>40</v>
      </c>
      <c r="X104" s="1">
        <v>200</v>
      </c>
      <c r="Y104" s="1" t="s">
        <v>770</v>
      </c>
      <c r="Z104" s="1" t="s">
        <v>925</v>
      </c>
      <c r="AA104" s="1" t="s">
        <v>927</v>
      </c>
      <c r="AB104" s="1" t="s">
        <v>518</v>
      </c>
      <c r="AC104" s="1" t="s">
        <v>1657</v>
      </c>
      <c r="AD104" s="1">
        <v>44561</v>
      </c>
      <c r="AE104" s="1">
        <v>44561</v>
      </c>
      <c r="AF104" s="1">
        <v>44561</v>
      </c>
    </row>
    <row r="105" spans="17:32" ht="12.75">
      <c r="Q105" s="1" t="s">
        <v>1044</v>
      </c>
      <c r="R105" s="1" t="s">
        <v>616</v>
      </c>
      <c r="S105" s="1" t="s">
        <v>910</v>
      </c>
      <c r="T105" s="1">
        <v>1</v>
      </c>
      <c r="U105" s="1">
        <v>105</v>
      </c>
      <c r="V105" s="1" t="s">
        <v>1658</v>
      </c>
      <c r="W105" s="1">
        <v>40</v>
      </c>
      <c r="X105" s="1">
        <v>200</v>
      </c>
      <c r="Y105" s="1" t="s">
        <v>1044</v>
      </c>
      <c r="Z105" s="1" t="s">
        <v>925</v>
      </c>
      <c r="AA105" s="1" t="s">
        <v>927</v>
      </c>
      <c r="AB105" s="1" t="s">
        <v>518</v>
      </c>
      <c r="AC105" s="1" t="s">
        <v>1658</v>
      </c>
      <c r="AD105" s="1">
        <v>44561</v>
      </c>
      <c r="AE105" s="1">
        <v>44561</v>
      </c>
      <c r="AF105" s="1">
        <v>44561</v>
      </c>
    </row>
    <row r="106" spans="17:32" ht="12.75">
      <c r="Q106" s="1" t="s">
        <v>771</v>
      </c>
      <c r="R106" s="1" t="s">
        <v>616</v>
      </c>
      <c r="S106" s="1" t="s">
        <v>910</v>
      </c>
      <c r="T106" s="1">
        <v>1</v>
      </c>
      <c r="U106" s="1">
        <v>106</v>
      </c>
      <c r="V106" s="1" t="s">
        <v>1659</v>
      </c>
      <c r="W106" s="1">
        <v>40</v>
      </c>
      <c r="X106" s="1">
        <v>200</v>
      </c>
      <c r="Y106" s="1" t="s">
        <v>771</v>
      </c>
      <c r="Z106" s="1" t="s">
        <v>925</v>
      </c>
      <c r="AA106" s="1" t="s">
        <v>927</v>
      </c>
      <c r="AB106" s="1" t="s">
        <v>518</v>
      </c>
      <c r="AC106" s="1" t="s">
        <v>1659</v>
      </c>
      <c r="AD106" s="1">
        <v>44561</v>
      </c>
      <c r="AE106" s="1">
        <v>44561</v>
      </c>
      <c r="AF106" s="1">
        <v>44561</v>
      </c>
    </row>
    <row r="107" spans="17:32" ht="12.75">
      <c r="Q107" s="1" t="s">
        <v>791</v>
      </c>
      <c r="R107" s="1" t="s">
        <v>616</v>
      </c>
      <c r="S107" s="1" t="s">
        <v>910</v>
      </c>
      <c r="T107" s="1">
        <v>1</v>
      </c>
      <c r="U107" s="1">
        <v>107</v>
      </c>
      <c r="V107" s="1" t="s">
        <v>1660</v>
      </c>
      <c r="W107" s="1">
        <v>40</v>
      </c>
      <c r="X107" s="1">
        <v>200</v>
      </c>
      <c r="Y107" s="1" t="s">
        <v>791</v>
      </c>
      <c r="Z107" s="1" t="s">
        <v>925</v>
      </c>
      <c r="AA107" s="1" t="s">
        <v>927</v>
      </c>
      <c r="AB107" s="1" t="s">
        <v>518</v>
      </c>
      <c r="AC107" s="1" t="s">
        <v>1660</v>
      </c>
      <c r="AD107" s="1">
        <v>44561</v>
      </c>
      <c r="AE107" s="1">
        <v>44561</v>
      </c>
      <c r="AF107" s="1">
        <v>44561</v>
      </c>
    </row>
    <row r="108" spans="17:32" ht="12.75">
      <c r="Q108" s="1" t="s">
        <v>794</v>
      </c>
      <c r="R108" s="1" t="s">
        <v>616</v>
      </c>
      <c r="S108" s="1" t="s">
        <v>910</v>
      </c>
      <c r="T108" s="1">
        <v>1</v>
      </c>
      <c r="U108" s="1">
        <v>108</v>
      </c>
      <c r="V108" s="1" t="s">
        <v>1661</v>
      </c>
      <c r="W108" s="1">
        <v>40</v>
      </c>
      <c r="X108" s="1">
        <v>200</v>
      </c>
      <c r="Y108" s="1" t="s">
        <v>794</v>
      </c>
      <c r="Z108" s="1" t="s">
        <v>925</v>
      </c>
      <c r="AA108" s="1" t="s">
        <v>927</v>
      </c>
      <c r="AB108" s="1" t="s">
        <v>518</v>
      </c>
      <c r="AC108" s="1" t="s">
        <v>1661</v>
      </c>
      <c r="AD108" s="1">
        <v>44561</v>
      </c>
      <c r="AE108" s="1">
        <v>44561</v>
      </c>
      <c r="AF108" s="1">
        <v>44561</v>
      </c>
    </row>
    <row r="109" spans="17:32" ht="12.75">
      <c r="Q109" s="1" t="s">
        <v>758</v>
      </c>
      <c r="R109" s="1" t="s">
        <v>616</v>
      </c>
      <c r="S109" s="1" t="s">
        <v>910</v>
      </c>
      <c r="T109" s="1">
        <v>1</v>
      </c>
      <c r="U109" s="1">
        <v>109</v>
      </c>
      <c r="V109" s="1" t="s">
        <v>658</v>
      </c>
      <c r="W109" s="1">
        <v>40</v>
      </c>
      <c r="X109" s="1">
        <v>200</v>
      </c>
      <c r="Y109" s="1" t="s">
        <v>758</v>
      </c>
      <c r="Z109" s="1" t="s">
        <v>925</v>
      </c>
      <c r="AA109" s="1" t="s">
        <v>927</v>
      </c>
      <c r="AB109" s="1" t="s">
        <v>518</v>
      </c>
      <c r="AC109" s="1" t="s">
        <v>658</v>
      </c>
      <c r="AD109" s="1">
        <v>44926</v>
      </c>
      <c r="AE109" s="1">
        <v>44926</v>
      </c>
      <c r="AF109" s="1">
        <v>44926</v>
      </c>
    </row>
    <row r="110" spans="17:32" ht="12.75">
      <c r="Q110" s="1" t="s">
        <v>760</v>
      </c>
      <c r="R110" s="1" t="s">
        <v>616</v>
      </c>
      <c r="S110" s="1" t="s">
        <v>910</v>
      </c>
      <c r="T110" s="1">
        <v>1</v>
      </c>
      <c r="U110" s="1">
        <v>110</v>
      </c>
      <c r="V110" s="1" t="s">
        <v>659</v>
      </c>
      <c r="W110" s="1">
        <v>40</v>
      </c>
      <c r="X110" s="1">
        <v>200</v>
      </c>
      <c r="Y110" s="1" t="s">
        <v>760</v>
      </c>
      <c r="Z110" s="1" t="s">
        <v>925</v>
      </c>
      <c r="AA110" s="1" t="s">
        <v>927</v>
      </c>
      <c r="AB110" s="1" t="s">
        <v>518</v>
      </c>
      <c r="AC110" s="1" t="s">
        <v>659</v>
      </c>
      <c r="AD110" s="1">
        <v>44926</v>
      </c>
      <c r="AE110" s="1">
        <v>44926</v>
      </c>
      <c r="AF110" s="1">
        <v>44926</v>
      </c>
    </row>
    <row r="111" spans="17:32" ht="12.75">
      <c r="Q111" s="1" t="s">
        <v>762</v>
      </c>
      <c r="R111" s="1" t="s">
        <v>616</v>
      </c>
      <c r="S111" s="1" t="s">
        <v>910</v>
      </c>
      <c r="T111" s="1">
        <v>1</v>
      </c>
      <c r="U111" s="1">
        <v>111</v>
      </c>
      <c r="V111" s="1" t="s">
        <v>660</v>
      </c>
      <c r="W111" s="1">
        <v>40</v>
      </c>
      <c r="X111" s="1">
        <v>200</v>
      </c>
      <c r="Y111" s="1" t="s">
        <v>762</v>
      </c>
      <c r="Z111" s="1" t="s">
        <v>925</v>
      </c>
      <c r="AA111" s="1" t="s">
        <v>927</v>
      </c>
      <c r="AB111" s="1" t="s">
        <v>518</v>
      </c>
      <c r="AC111" s="1" t="s">
        <v>660</v>
      </c>
      <c r="AD111" s="1">
        <v>44926</v>
      </c>
      <c r="AE111" s="1">
        <v>44926</v>
      </c>
      <c r="AF111" s="1">
        <v>44926</v>
      </c>
    </row>
    <row r="112" spans="17:32" ht="12.75">
      <c r="Q112" s="1" t="s">
        <v>764</v>
      </c>
      <c r="R112" s="1" t="s">
        <v>616</v>
      </c>
      <c r="S112" s="1" t="s">
        <v>910</v>
      </c>
      <c r="T112" s="1">
        <v>1</v>
      </c>
      <c r="U112" s="1">
        <v>112</v>
      </c>
      <c r="V112" s="1" t="s">
        <v>661</v>
      </c>
      <c r="W112" s="1">
        <v>40</v>
      </c>
      <c r="X112" s="1">
        <v>200</v>
      </c>
      <c r="Y112" s="1" t="s">
        <v>764</v>
      </c>
      <c r="Z112" s="1" t="s">
        <v>925</v>
      </c>
      <c r="AA112" s="1" t="s">
        <v>927</v>
      </c>
      <c r="AB112" s="1" t="s">
        <v>518</v>
      </c>
      <c r="AC112" s="1" t="s">
        <v>661</v>
      </c>
      <c r="AD112" s="1">
        <v>44926</v>
      </c>
      <c r="AE112" s="1">
        <v>44926</v>
      </c>
      <c r="AF112" s="1">
        <v>44926</v>
      </c>
    </row>
    <row r="113" spans="17:32" ht="12.75">
      <c r="Q113" s="1" t="s">
        <v>766</v>
      </c>
      <c r="R113" s="1" t="s">
        <v>616</v>
      </c>
      <c r="S113" s="1" t="s">
        <v>910</v>
      </c>
      <c r="T113" s="1">
        <v>1</v>
      </c>
      <c r="U113" s="1">
        <v>113</v>
      </c>
      <c r="V113" s="1" t="s">
        <v>662</v>
      </c>
      <c r="W113" s="1">
        <v>40</v>
      </c>
      <c r="X113" s="1">
        <v>200</v>
      </c>
      <c r="Y113" s="1" t="s">
        <v>766</v>
      </c>
      <c r="Z113" s="1" t="s">
        <v>925</v>
      </c>
      <c r="AA113" s="1" t="s">
        <v>927</v>
      </c>
      <c r="AB113" s="1" t="s">
        <v>518</v>
      </c>
      <c r="AC113" s="1" t="s">
        <v>662</v>
      </c>
      <c r="AD113" s="1">
        <v>44926</v>
      </c>
      <c r="AE113" s="1">
        <v>44926</v>
      </c>
      <c r="AF113" s="1">
        <v>44926</v>
      </c>
    </row>
    <row r="114" spans="17:32" ht="12.75">
      <c r="Q114" s="1" t="s">
        <v>1035</v>
      </c>
      <c r="R114" s="1" t="s">
        <v>616</v>
      </c>
      <c r="S114" s="1" t="s">
        <v>910</v>
      </c>
      <c r="T114" s="1">
        <v>1</v>
      </c>
      <c r="U114" s="1">
        <v>114</v>
      </c>
      <c r="V114" s="1" t="s">
        <v>1662</v>
      </c>
      <c r="W114" s="1">
        <v>40</v>
      </c>
      <c r="X114" s="1">
        <v>200</v>
      </c>
      <c r="Y114" s="1" t="s">
        <v>1035</v>
      </c>
      <c r="Z114" s="1" t="s">
        <v>925</v>
      </c>
      <c r="AA114" s="1" t="s">
        <v>927</v>
      </c>
      <c r="AB114" s="1" t="s">
        <v>518</v>
      </c>
      <c r="AC114" s="1" t="s">
        <v>1662</v>
      </c>
      <c r="AD114" s="1">
        <v>44926</v>
      </c>
      <c r="AE114" s="1">
        <v>44926</v>
      </c>
      <c r="AF114" s="1">
        <v>44926</v>
      </c>
    </row>
    <row r="115" spans="17:32" ht="12.75">
      <c r="Q115" s="1" t="s">
        <v>1663</v>
      </c>
      <c r="R115" s="1" t="s">
        <v>627</v>
      </c>
      <c r="S115" s="1" t="s">
        <v>910</v>
      </c>
      <c r="T115" s="1">
        <v>2</v>
      </c>
      <c r="U115" s="1">
        <v>115</v>
      </c>
      <c r="V115" s="1" t="s">
        <v>518</v>
      </c>
      <c r="W115" s="1">
        <v>40</v>
      </c>
      <c r="X115" s="1">
        <v>200</v>
      </c>
      <c r="Y115" s="1" t="s">
        <v>1183</v>
      </c>
      <c r="Z115" s="1" t="s">
        <v>925</v>
      </c>
      <c r="AA115" s="1" t="s">
        <v>927</v>
      </c>
      <c r="AB115" s="1" t="s">
        <v>518</v>
      </c>
      <c r="AD115" s="1">
        <v>44561</v>
      </c>
      <c r="AE115" s="1">
        <v>44561</v>
      </c>
      <c r="AF115" s="1">
        <v>44561</v>
      </c>
    </row>
    <row r="116" spans="17:32" ht="12.75">
      <c r="Q116" s="1" t="s">
        <v>673</v>
      </c>
      <c r="R116" s="1" t="s">
        <v>616</v>
      </c>
      <c r="S116" s="1" t="s">
        <v>910</v>
      </c>
      <c r="T116" s="1">
        <v>1</v>
      </c>
      <c r="U116" s="1">
        <v>116</v>
      </c>
      <c r="V116" s="1" t="s">
        <v>1664</v>
      </c>
      <c r="W116" s="1">
        <v>40</v>
      </c>
      <c r="X116" s="1">
        <v>210</v>
      </c>
      <c r="Y116" s="1" t="s">
        <v>673</v>
      </c>
      <c r="Z116" s="1" t="s">
        <v>925</v>
      </c>
      <c r="AA116" s="1" t="s">
        <v>927</v>
      </c>
      <c r="AB116" s="1" t="s">
        <v>519</v>
      </c>
      <c r="AC116" s="1" t="s">
        <v>1664</v>
      </c>
      <c r="AD116" s="1">
        <v>44561</v>
      </c>
      <c r="AE116" s="1">
        <v>44561</v>
      </c>
      <c r="AF116" s="1">
        <v>44561</v>
      </c>
    </row>
    <row r="117" spans="17:32" ht="12.75">
      <c r="Q117" s="1" t="s">
        <v>675</v>
      </c>
      <c r="R117" s="1" t="s">
        <v>616</v>
      </c>
      <c r="S117" s="1" t="s">
        <v>910</v>
      </c>
      <c r="T117" s="1">
        <v>1</v>
      </c>
      <c r="U117" s="1">
        <v>117</v>
      </c>
      <c r="V117" s="1" t="s">
        <v>1665</v>
      </c>
      <c r="W117" s="1">
        <v>40</v>
      </c>
      <c r="X117" s="1">
        <v>210</v>
      </c>
      <c r="Y117" s="1" t="s">
        <v>675</v>
      </c>
      <c r="Z117" s="1" t="s">
        <v>925</v>
      </c>
      <c r="AA117" s="1" t="s">
        <v>927</v>
      </c>
      <c r="AB117" s="1" t="s">
        <v>519</v>
      </c>
      <c r="AC117" s="1" t="s">
        <v>1665</v>
      </c>
      <c r="AD117" s="1">
        <v>44561</v>
      </c>
      <c r="AE117" s="1">
        <v>44561</v>
      </c>
      <c r="AF117" s="1">
        <v>44561</v>
      </c>
    </row>
    <row r="118" spans="17:32" ht="12.75">
      <c r="Q118" s="1" t="s">
        <v>774</v>
      </c>
      <c r="R118" s="1" t="s">
        <v>616</v>
      </c>
      <c r="S118" s="1" t="s">
        <v>910</v>
      </c>
      <c r="T118" s="1">
        <v>1</v>
      </c>
      <c r="U118" s="1">
        <v>118</v>
      </c>
      <c r="V118" s="1" t="s">
        <v>663</v>
      </c>
      <c r="W118" s="1">
        <v>40</v>
      </c>
      <c r="X118" s="1">
        <v>210</v>
      </c>
      <c r="Y118" s="1" t="s">
        <v>774</v>
      </c>
      <c r="Z118" s="1" t="s">
        <v>925</v>
      </c>
      <c r="AA118" s="1" t="s">
        <v>927</v>
      </c>
      <c r="AB118" s="1" t="s">
        <v>519</v>
      </c>
      <c r="AC118" s="1" t="s">
        <v>663</v>
      </c>
      <c r="AD118" s="1">
        <v>44926</v>
      </c>
      <c r="AE118" s="1">
        <v>44926</v>
      </c>
      <c r="AF118" s="1">
        <v>44926</v>
      </c>
    </row>
    <row r="119" spans="17:32" ht="12.75">
      <c r="Q119" s="1" t="s">
        <v>776</v>
      </c>
      <c r="R119" s="1" t="s">
        <v>616</v>
      </c>
      <c r="S119" s="1" t="s">
        <v>910</v>
      </c>
      <c r="T119" s="1">
        <v>1</v>
      </c>
      <c r="U119" s="1">
        <v>119</v>
      </c>
      <c r="V119" s="1" t="s">
        <v>664</v>
      </c>
      <c r="W119" s="1">
        <v>40</v>
      </c>
      <c r="X119" s="1">
        <v>210</v>
      </c>
      <c r="Y119" s="1" t="s">
        <v>776</v>
      </c>
      <c r="Z119" s="1" t="s">
        <v>925</v>
      </c>
      <c r="AA119" s="1" t="s">
        <v>927</v>
      </c>
      <c r="AB119" s="1" t="s">
        <v>519</v>
      </c>
      <c r="AC119" s="1" t="s">
        <v>664</v>
      </c>
      <c r="AD119" s="1">
        <v>44926</v>
      </c>
      <c r="AE119" s="1">
        <v>44926</v>
      </c>
      <c r="AF119" s="1">
        <v>44926</v>
      </c>
    </row>
    <row r="120" spans="17:32" ht="12.75">
      <c r="Q120" s="1" t="s">
        <v>1666</v>
      </c>
      <c r="R120" s="1" t="s">
        <v>627</v>
      </c>
      <c r="S120" s="1" t="s">
        <v>910</v>
      </c>
      <c r="T120" s="1">
        <v>2</v>
      </c>
      <c r="U120" s="1">
        <v>120</v>
      </c>
      <c r="V120" s="1" t="s">
        <v>519</v>
      </c>
      <c r="W120" s="1">
        <v>40</v>
      </c>
      <c r="X120" s="1">
        <v>210</v>
      </c>
      <c r="Y120" s="1" t="s">
        <v>1183</v>
      </c>
      <c r="Z120" s="1" t="s">
        <v>925</v>
      </c>
      <c r="AA120" s="1" t="s">
        <v>927</v>
      </c>
      <c r="AB120" s="1" t="s">
        <v>519</v>
      </c>
      <c r="AD120" s="1">
        <v>44561</v>
      </c>
      <c r="AE120" s="1">
        <v>44561</v>
      </c>
      <c r="AF120" s="1">
        <v>44561</v>
      </c>
    </row>
    <row r="121" spans="17:32" ht="12.75">
      <c r="Q121" s="1" t="s">
        <v>826</v>
      </c>
      <c r="R121" s="1" t="s">
        <v>616</v>
      </c>
      <c r="S121" s="1" t="s">
        <v>910</v>
      </c>
      <c r="T121" s="1">
        <v>1</v>
      </c>
      <c r="U121" s="1">
        <v>121</v>
      </c>
      <c r="V121" s="1" t="s">
        <v>1667</v>
      </c>
      <c r="W121" s="1">
        <v>40</v>
      </c>
      <c r="X121" s="1">
        <v>211</v>
      </c>
      <c r="Y121" s="1" t="s">
        <v>826</v>
      </c>
      <c r="Z121" s="1" t="s">
        <v>925</v>
      </c>
      <c r="AA121" s="1" t="s">
        <v>927</v>
      </c>
      <c r="AB121" s="1" t="s">
        <v>520</v>
      </c>
      <c r="AC121" s="1" t="s">
        <v>1667</v>
      </c>
      <c r="AD121" s="1">
        <v>44561</v>
      </c>
      <c r="AE121" s="1">
        <v>44561</v>
      </c>
      <c r="AF121" s="1">
        <v>44561</v>
      </c>
    </row>
    <row r="122" spans="17:32" ht="12.75">
      <c r="Q122" s="1" t="s">
        <v>778</v>
      </c>
      <c r="R122" s="1" t="s">
        <v>616</v>
      </c>
      <c r="S122" s="1" t="s">
        <v>910</v>
      </c>
      <c r="T122" s="1">
        <v>1</v>
      </c>
      <c r="U122" s="1">
        <v>122</v>
      </c>
      <c r="V122" s="1" t="s">
        <v>665</v>
      </c>
      <c r="W122" s="1">
        <v>40</v>
      </c>
      <c r="X122" s="1">
        <v>211</v>
      </c>
      <c r="Y122" s="1" t="s">
        <v>778</v>
      </c>
      <c r="Z122" s="1" t="s">
        <v>925</v>
      </c>
      <c r="AA122" s="1" t="s">
        <v>927</v>
      </c>
      <c r="AB122" s="1" t="s">
        <v>520</v>
      </c>
      <c r="AC122" s="1" t="s">
        <v>665</v>
      </c>
      <c r="AD122" s="1">
        <v>44926</v>
      </c>
      <c r="AE122" s="1">
        <v>44926</v>
      </c>
      <c r="AF122" s="1">
        <v>44926</v>
      </c>
    </row>
    <row r="123" spans="17:32" ht="12.75">
      <c r="Q123" s="1" t="s">
        <v>1668</v>
      </c>
      <c r="R123" s="1" t="s">
        <v>627</v>
      </c>
      <c r="S123" s="1" t="s">
        <v>910</v>
      </c>
      <c r="T123" s="1">
        <v>2</v>
      </c>
      <c r="U123" s="1">
        <v>123</v>
      </c>
      <c r="V123" s="1" t="s">
        <v>520</v>
      </c>
      <c r="W123" s="1">
        <v>40</v>
      </c>
      <c r="X123" s="1">
        <v>211</v>
      </c>
      <c r="Y123" s="1" t="s">
        <v>1183</v>
      </c>
      <c r="Z123" s="1" t="s">
        <v>925</v>
      </c>
      <c r="AA123" s="1" t="s">
        <v>927</v>
      </c>
      <c r="AB123" s="1" t="s">
        <v>520</v>
      </c>
      <c r="AD123" s="1">
        <v>44561</v>
      </c>
      <c r="AE123" s="1">
        <v>44561</v>
      </c>
      <c r="AF123" s="1">
        <v>44561</v>
      </c>
    </row>
    <row r="124" spans="17:29" ht="12.75">
      <c r="Q124" s="1" t="s">
        <v>1125</v>
      </c>
      <c r="R124" s="1" t="s">
        <v>616</v>
      </c>
      <c r="S124" s="1" t="s">
        <v>910</v>
      </c>
      <c r="T124" s="1">
        <v>1</v>
      </c>
      <c r="U124" s="1">
        <v>124</v>
      </c>
      <c r="V124" s="1" t="s">
        <v>1669</v>
      </c>
      <c r="W124" s="1">
        <v>40</v>
      </c>
      <c r="X124" s="1">
        <v>220</v>
      </c>
      <c r="Y124" s="1" t="s">
        <v>1125</v>
      </c>
      <c r="Z124" s="1" t="s">
        <v>925</v>
      </c>
      <c r="AA124" s="1" t="s">
        <v>927</v>
      </c>
      <c r="AB124" s="1" t="s">
        <v>521</v>
      </c>
      <c r="AC124" s="1" t="s">
        <v>1669</v>
      </c>
    </row>
    <row r="125" spans="17:28" ht="12.75">
      <c r="Q125" s="1" t="s">
        <v>1670</v>
      </c>
      <c r="R125" s="1" t="s">
        <v>627</v>
      </c>
      <c r="S125" s="1" t="s">
        <v>910</v>
      </c>
      <c r="T125" s="1">
        <v>2</v>
      </c>
      <c r="U125" s="1">
        <v>125</v>
      </c>
      <c r="V125" s="1" t="s">
        <v>521</v>
      </c>
      <c r="W125" s="1">
        <v>40</v>
      </c>
      <c r="X125" s="1">
        <v>220</v>
      </c>
      <c r="Y125" s="1" t="s">
        <v>1183</v>
      </c>
      <c r="Z125" s="1" t="s">
        <v>925</v>
      </c>
      <c r="AA125" s="1" t="s">
        <v>927</v>
      </c>
      <c r="AB125" s="1" t="s">
        <v>521</v>
      </c>
    </row>
    <row r="126" spans="17:29" ht="12.75">
      <c r="Q126" s="1" t="s">
        <v>819</v>
      </c>
      <c r="R126" s="1" t="s">
        <v>616</v>
      </c>
      <c r="S126" s="1" t="s">
        <v>910</v>
      </c>
      <c r="T126" s="1">
        <v>1</v>
      </c>
      <c r="U126" s="1">
        <v>126</v>
      </c>
      <c r="V126" s="1" t="s">
        <v>1671</v>
      </c>
      <c r="W126" s="1">
        <v>40</v>
      </c>
      <c r="X126" s="1">
        <v>240</v>
      </c>
      <c r="Y126" s="1" t="s">
        <v>819</v>
      </c>
      <c r="Z126" s="1" t="s">
        <v>925</v>
      </c>
      <c r="AA126" s="1" t="s">
        <v>927</v>
      </c>
      <c r="AB126" s="1" t="s">
        <v>666</v>
      </c>
      <c r="AC126" s="1" t="s">
        <v>1671</v>
      </c>
    </row>
    <row r="127" spans="17:28" ht="12.75">
      <c r="Q127" s="1" t="s">
        <v>1672</v>
      </c>
      <c r="R127" s="1" t="s">
        <v>627</v>
      </c>
      <c r="S127" s="1" t="s">
        <v>910</v>
      </c>
      <c r="T127" s="1">
        <v>2</v>
      </c>
      <c r="U127" s="1">
        <v>127</v>
      </c>
      <c r="V127" s="1" t="s">
        <v>666</v>
      </c>
      <c r="W127" s="1">
        <v>40</v>
      </c>
      <c r="X127" s="1">
        <v>240</v>
      </c>
      <c r="Y127" s="1" t="s">
        <v>1183</v>
      </c>
      <c r="Z127" s="1" t="s">
        <v>925</v>
      </c>
      <c r="AA127" s="1" t="s">
        <v>927</v>
      </c>
      <c r="AB127" s="1" t="s">
        <v>666</v>
      </c>
    </row>
    <row r="128" spans="17:32" ht="12.75">
      <c r="Q128" s="1" t="s">
        <v>803</v>
      </c>
      <c r="R128" s="1" t="s">
        <v>616</v>
      </c>
      <c r="S128" s="1" t="s">
        <v>910</v>
      </c>
      <c r="T128" s="1">
        <v>1</v>
      </c>
      <c r="U128" s="1">
        <v>128</v>
      </c>
      <c r="V128" s="1" t="s">
        <v>530</v>
      </c>
      <c r="W128" s="1">
        <v>40</v>
      </c>
      <c r="X128" s="1">
        <v>250</v>
      </c>
      <c r="Y128" s="1" t="s">
        <v>803</v>
      </c>
      <c r="Z128" s="1" t="s">
        <v>925</v>
      </c>
      <c r="AA128" s="1" t="s">
        <v>927</v>
      </c>
      <c r="AB128" s="1" t="s">
        <v>522</v>
      </c>
      <c r="AC128" s="1" t="s">
        <v>530</v>
      </c>
      <c r="AD128" s="1">
        <v>44561</v>
      </c>
      <c r="AE128" s="1">
        <v>44561</v>
      </c>
      <c r="AF128" s="1">
        <v>44561</v>
      </c>
    </row>
    <row r="129" spans="17:32" ht="12.75">
      <c r="Q129" s="1" t="s">
        <v>797</v>
      </c>
      <c r="R129" s="1" t="s">
        <v>616</v>
      </c>
      <c r="S129" s="1" t="s">
        <v>910</v>
      </c>
      <c r="T129" s="1">
        <v>1</v>
      </c>
      <c r="U129" s="1">
        <v>129</v>
      </c>
      <c r="V129" s="1" t="s">
        <v>667</v>
      </c>
      <c r="W129" s="1">
        <v>40</v>
      </c>
      <c r="X129" s="1">
        <v>250</v>
      </c>
      <c r="Y129" s="1" t="s">
        <v>797</v>
      </c>
      <c r="Z129" s="1" t="s">
        <v>925</v>
      </c>
      <c r="AA129" s="1" t="s">
        <v>927</v>
      </c>
      <c r="AB129" s="1" t="s">
        <v>522</v>
      </c>
      <c r="AC129" s="1" t="s">
        <v>667</v>
      </c>
      <c r="AD129" s="1">
        <v>44926</v>
      </c>
      <c r="AE129" s="1">
        <v>44926</v>
      </c>
      <c r="AF129" s="1">
        <v>44926</v>
      </c>
    </row>
    <row r="130" spans="17:32" ht="12.75">
      <c r="Q130" s="1" t="s">
        <v>1673</v>
      </c>
      <c r="R130" s="1" t="s">
        <v>627</v>
      </c>
      <c r="S130" s="1" t="s">
        <v>910</v>
      </c>
      <c r="T130" s="1">
        <v>2</v>
      </c>
      <c r="U130" s="1">
        <v>130</v>
      </c>
      <c r="V130" s="1" t="s">
        <v>522</v>
      </c>
      <c r="W130" s="1">
        <v>40</v>
      </c>
      <c r="X130" s="1">
        <v>250</v>
      </c>
      <c r="Y130" s="1" t="s">
        <v>1183</v>
      </c>
      <c r="Z130" s="1" t="s">
        <v>925</v>
      </c>
      <c r="AA130" s="1" t="s">
        <v>927</v>
      </c>
      <c r="AB130" s="1" t="s">
        <v>522</v>
      </c>
      <c r="AD130" s="1">
        <v>44561</v>
      </c>
      <c r="AE130" s="1">
        <v>44561</v>
      </c>
      <c r="AF130" s="1">
        <v>44561</v>
      </c>
    </row>
    <row r="131" spans="17:27" ht="12.75">
      <c r="Q131" s="1" t="s">
        <v>1674</v>
      </c>
      <c r="R131" s="1" t="s">
        <v>617</v>
      </c>
      <c r="S131" s="1" t="s">
        <v>910</v>
      </c>
      <c r="T131" s="1">
        <v>3</v>
      </c>
      <c r="U131" s="1">
        <v>131</v>
      </c>
      <c r="V131" s="1" t="s">
        <v>927</v>
      </c>
      <c r="W131" s="1">
        <v>40</v>
      </c>
      <c r="Y131" s="1" t="s">
        <v>1183</v>
      </c>
      <c r="Z131" s="1" t="s">
        <v>925</v>
      </c>
      <c r="AA131" s="1" t="s">
        <v>927</v>
      </c>
    </row>
    <row r="132" spans="17:29" ht="12.75">
      <c r="Q132" s="1" t="s">
        <v>1183</v>
      </c>
      <c r="R132" s="1" t="s">
        <v>616</v>
      </c>
      <c r="S132" s="1" t="s">
        <v>910</v>
      </c>
      <c r="T132" s="1">
        <v>1</v>
      </c>
      <c r="U132" s="1">
        <v>132</v>
      </c>
      <c r="V132" s="1" t="s">
        <v>1675</v>
      </c>
      <c r="Y132" s="1" t="s">
        <v>1183</v>
      </c>
      <c r="Z132" s="1" t="s">
        <v>925</v>
      </c>
      <c r="AA132" s="1" t="s">
        <v>23</v>
      </c>
      <c r="AB132" s="1" t="s">
        <v>23</v>
      </c>
      <c r="AC132" s="1" t="s">
        <v>1676</v>
      </c>
    </row>
    <row r="133" spans="17:27" ht="12.75">
      <c r="Q133" s="1" t="s">
        <v>1183</v>
      </c>
      <c r="R133" s="1" t="s">
        <v>617</v>
      </c>
      <c r="S133" s="1" t="s">
        <v>910</v>
      </c>
      <c r="T133" s="1">
        <v>3</v>
      </c>
      <c r="U133" s="1">
        <v>133</v>
      </c>
      <c r="V133" s="1" t="s">
        <v>1677</v>
      </c>
      <c r="Y133" s="1" t="s">
        <v>1183</v>
      </c>
      <c r="Z133" s="1" t="s">
        <v>925</v>
      </c>
      <c r="AA133" s="1" t="s">
        <v>23</v>
      </c>
    </row>
    <row r="134" spans="17:26" ht="12.75">
      <c r="Q134" s="1" t="s">
        <v>1678</v>
      </c>
      <c r="R134" s="1" t="s">
        <v>616</v>
      </c>
      <c r="S134" s="1" t="s">
        <v>910</v>
      </c>
      <c r="T134" s="1">
        <v>4</v>
      </c>
      <c r="U134" s="1">
        <v>134</v>
      </c>
      <c r="V134" s="1" t="s">
        <v>593</v>
      </c>
      <c r="Y134" s="1" t="s">
        <v>1183</v>
      </c>
      <c r="Z134" s="1" t="s">
        <v>925</v>
      </c>
    </row>
    <row r="135" spans="18:26" ht="12.75">
      <c r="R135" s="1" t="s">
        <v>913</v>
      </c>
      <c r="S135" s="1" t="s">
        <v>910</v>
      </c>
      <c r="T135" s="1">
        <v>9</v>
      </c>
      <c r="U135" s="1">
        <v>135</v>
      </c>
      <c r="Z135" s="1" t="s">
        <v>925</v>
      </c>
    </row>
    <row r="136" spans="18:26" ht="12.75">
      <c r="R136" s="1" t="s">
        <v>913</v>
      </c>
      <c r="S136" s="1" t="s">
        <v>910</v>
      </c>
      <c r="T136" s="1">
        <v>9</v>
      </c>
      <c r="U136" s="1">
        <v>136</v>
      </c>
      <c r="Z136" s="1" t="s">
        <v>925</v>
      </c>
    </row>
    <row r="137" spans="17:26" ht="12.75">
      <c r="Q137" s="1" t="s">
        <v>1183</v>
      </c>
      <c r="R137" s="1" t="s">
        <v>914</v>
      </c>
      <c r="S137" s="1" t="s">
        <v>911</v>
      </c>
      <c r="T137" s="1">
        <v>-2</v>
      </c>
      <c r="U137" s="1">
        <v>137</v>
      </c>
      <c r="V137" s="1" t="s">
        <v>668</v>
      </c>
      <c r="Z137" s="1" t="s">
        <v>928</v>
      </c>
    </row>
    <row r="138" spans="18:26" ht="12.75">
      <c r="R138" s="1" t="s">
        <v>914</v>
      </c>
      <c r="S138" s="1" t="s">
        <v>911</v>
      </c>
      <c r="T138" s="1">
        <v>-1</v>
      </c>
      <c r="U138" s="1">
        <v>138</v>
      </c>
      <c r="V138" s="1" t="s">
        <v>669</v>
      </c>
      <c r="Z138" s="1" t="s">
        <v>928</v>
      </c>
    </row>
    <row r="139" spans="17:32" ht="12.75">
      <c r="Q139" s="1" t="s">
        <v>597</v>
      </c>
      <c r="R139" s="1" t="s">
        <v>616</v>
      </c>
      <c r="S139" s="1" t="s">
        <v>911</v>
      </c>
      <c r="T139" s="1">
        <v>1</v>
      </c>
      <c r="U139" s="1">
        <v>139</v>
      </c>
      <c r="V139" s="1" t="s">
        <v>523</v>
      </c>
      <c r="W139" s="1">
        <v>10</v>
      </c>
      <c r="X139" s="1">
        <v>110</v>
      </c>
      <c r="Y139" s="1" t="s">
        <v>597</v>
      </c>
      <c r="Z139" s="1" t="s">
        <v>928</v>
      </c>
      <c r="AA139" s="1" t="s">
        <v>929</v>
      </c>
      <c r="AB139" s="1" t="s">
        <v>930</v>
      </c>
      <c r="AC139" s="1" t="s">
        <v>523</v>
      </c>
      <c r="AD139" s="1">
        <v>44926</v>
      </c>
      <c r="AE139" s="1">
        <v>44926</v>
      </c>
      <c r="AF139" s="1">
        <v>44926</v>
      </c>
    </row>
    <row r="140" spans="17:31" ht="12.75">
      <c r="Q140" s="1" t="s">
        <v>596</v>
      </c>
      <c r="R140" s="1" t="s">
        <v>616</v>
      </c>
      <c r="S140" s="1" t="s">
        <v>911</v>
      </c>
      <c r="T140" s="1">
        <v>1</v>
      </c>
      <c r="U140" s="1">
        <v>140</v>
      </c>
      <c r="V140" s="1" t="s">
        <v>524</v>
      </c>
      <c r="W140" s="1">
        <v>10</v>
      </c>
      <c r="X140" s="1">
        <v>110</v>
      </c>
      <c r="Y140" s="1" t="s">
        <v>596</v>
      </c>
      <c r="Z140" s="1" t="s">
        <v>928</v>
      </c>
      <c r="AA140" s="1" t="s">
        <v>929</v>
      </c>
      <c r="AB140" s="1" t="s">
        <v>930</v>
      </c>
      <c r="AC140" s="1" t="s">
        <v>524</v>
      </c>
      <c r="AD140" s="1">
        <v>44926</v>
      </c>
      <c r="AE140" s="1">
        <v>44926</v>
      </c>
    </row>
    <row r="141" spans="17:32" ht="12.75">
      <c r="Q141" s="1" t="s">
        <v>599</v>
      </c>
      <c r="R141" s="1" t="s">
        <v>616</v>
      </c>
      <c r="S141" s="1" t="s">
        <v>911</v>
      </c>
      <c r="T141" s="1">
        <v>1</v>
      </c>
      <c r="U141" s="1">
        <v>141</v>
      </c>
      <c r="V141" s="1" t="s">
        <v>525</v>
      </c>
      <c r="W141" s="1">
        <v>10</v>
      </c>
      <c r="X141" s="1">
        <v>110</v>
      </c>
      <c r="Y141" s="1" t="s">
        <v>599</v>
      </c>
      <c r="Z141" s="1" t="s">
        <v>928</v>
      </c>
      <c r="AA141" s="1" t="s">
        <v>929</v>
      </c>
      <c r="AB141" s="1" t="s">
        <v>930</v>
      </c>
      <c r="AC141" s="1" t="s">
        <v>525</v>
      </c>
      <c r="AD141" s="1">
        <v>44926</v>
      </c>
      <c r="AE141" s="1">
        <v>44926</v>
      </c>
      <c r="AF141" s="1">
        <v>44926</v>
      </c>
    </row>
    <row r="142" spans="17:31" ht="12.75">
      <c r="Q142" s="1" t="s">
        <v>598</v>
      </c>
      <c r="R142" s="1" t="s">
        <v>616</v>
      </c>
      <c r="S142" s="1" t="s">
        <v>911</v>
      </c>
      <c r="T142" s="1">
        <v>1</v>
      </c>
      <c r="U142" s="1">
        <v>142</v>
      </c>
      <c r="V142" s="1" t="s">
        <v>526</v>
      </c>
      <c r="W142" s="1">
        <v>10</v>
      </c>
      <c r="X142" s="1">
        <v>110</v>
      </c>
      <c r="Y142" s="1" t="s">
        <v>598</v>
      </c>
      <c r="Z142" s="1" t="s">
        <v>928</v>
      </c>
      <c r="AA142" s="1" t="s">
        <v>929</v>
      </c>
      <c r="AB142" s="1" t="s">
        <v>930</v>
      </c>
      <c r="AC142" s="1" t="s">
        <v>526</v>
      </c>
      <c r="AD142" s="1">
        <v>44926</v>
      </c>
      <c r="AE142" s="1">
        <v>44926</v>
      </c>
    </row>
    <row r="143" spans="17:32" ht="12.75">
      <c r="Q143" s="1" t="s">
        <v>600</v>
      </c>
      <c r="R143" s="1" t="s">
        <v>616</v>
      </c>
      <c r="S143" s="1" t="s">
        <v>911</v>
      </c>
      <c r="T143" s="1">
        <v>1</v>
      </c>
      <c r="U143" s="1">
        <v>143</v>
      </c>
      <c r="V143" s="1" t="s">
        <v>527</v>
      </c>
      <c r="W143" s="1">
        <v>10</v>
      </c>
      <c r="X143" s="1">
        <v>110</v>
      </c>
      <c r="Y143" s="1" t="s">
        <v>600</v>
      </c>
      <c r="Z143" s="1" t="s">
        <v>928</v>
      </c>
      <c r="AA143" s="1" t="s">
        <v>929</v>
      </c>
      <c r="AB143" s="1" t="s">
        <v>930</v>
      </c>
      <c r="AC143" s="1" t="s">
        <v>527</v>
      </c>
      <c r="AD143" s="1">
        <v>44926</v>
      </c>
      <c r="AE143" s="1">
        <v>44926</v>
      </c>
      <c r="AF143" s="1">
        <v>44926</v>
      </c>
    </row>
    <row r="144" spans="17:26" ht="12.75">
      <c r="Q144" s="1" t="s">
        <v>604</v>
      </c>
      <c r="R144" s="1" t="s">
        <v>617</v>
      </c>
      <c r="S144" s="1" t="s">
        <v>911</v>
      </c>
      <c r="T144" s="1">
        <v>4</v>
      </c>
      <c r="U144" s="1">
        <v>144</v>
      </c>
      <c r="V144" s="1" t="s">
        <v>671</v>
      </c>
      <c r="Y144" s="1" t="s">
        <v>1183</v>
      </c>
      <c r="Z144" s="1" t="s">
        <v>928</v>
      </c>
    </row>
    <row r="145" spans="18:26" ht="12.75">
      <c r="R145" s="1" t="s">
        <v>913</v>
      </c>
      <c r="S145" s="1" t="s">
        <v>911</v>
      </c>
      <c r="T145" s="1">
        <v>9</v>
      </c>
      <c r="U145" s="1">
        <v>145</v>
      </c>
      <c r="Z145" s="1" t="s">
        <v>928</v>
      </c>
    </row>
    <row r="146" spans="18:26" ht="12.75">
      <c r="R146" s="1" t="s">
        <v>913</v>
      </c>
      <c r="S146" s="1" t="s">
        <v>911</v>
      </c>
      <c r="T146" s="1">
        <v>9</v>
      </c>
      <c r="U146" s="1">
        <v>146</v>
      </c>
      <c r="Z146" s="1" t="s">
        <v>928</v>
      </c>
    </row>
    <row r="147" spans="18:26" ht="12.75">
      <c r="R147" s="1" t="s">
        <v>914</v>
      </c>
      <c r="S147" s="1" t="s">
        <v>912</v>
      </c>
      <c r="T147" s="1">
        <v>-2</v>
      </c>
      <c r="U147" s="1">
        <v>147</v>
      </c>
      <c r="V147" s="1" t="s">
        <v>909</v>
      </c>
      <c r="Z147" s="1" t="s">
        <v>321</v>
      </c>
    </row>
    <row r="148" spans="18:26" ht="12.75">
      <c r="R148" s="1" t="s">
        <v>914</v>
      </c>
      <c r="S148" s="1" t="s">
        <v>912</v>
      </c>
      <c r="T148" s="1">
        <v>-1</v>
      </c>
      <c r="U148" s="1">
        <v>148</v>
      </c>
      <c r="V148" s="1" t="s">
        <v>38</v>
      </c>
      <c r="Z148" s="1" t="s">
        <v>321</v>
      </c>
    </row>
    <row r="149" spans="17:28" ht="12.75">
      <c r="Q149" s="1" t="s">
        <v>931</v>
      </c>
      <c r="R149" s="1" t="s">
        <v>931</v>
      </c>
      <c r="S149" s="1" t="s">
        <v>912</v>
      </c>
      <c r="T149" s="1">
        <v>1</v>
      </c>
      <c r="U149" s="1">
        <v>149</v>
      </c>
      <c r="V149" s="1" t="s">
        <v>562</v>
      </c>
      <c r="W149" s="1">
        <v>39</v>
      </c>
      <c r="X149" s="1">
        <v>300</v>
      </c>
      <c r="Z149" s="1" t="s">
        <v>321</v>
      </c>
      <c r="AA149" s="1" t="s">
        <v>932</v>
      </c>
      <c r="AB149" s="1" t="s">
        <v>562</v>
      </c>
    </row>
    <row r="150" spans="17:28" ht="12.75">
      <c r="Q150" s="1" t="s">
        <v>1679</v>
      </c>
      <c r="R150" s="1" t="s">
        <v>1679</v>
      </c>
      <c r="S150" s="1" t="s">
        <v>912</v>
      </c>
      <c r="T150" s="1">
        <v>1</v>
      </c>
      <c r="U150" s="1">
        <v>150</v>
      </c>
      <c r="V150" s="1" t="s">
        <v>1680</v>
      </c>
      <c r="W150" s="1">
        <v>39</v>
      </c>
      <c r="X150" s="1">
        <v>310</v>
      </c>
      <c r="Z150" s="1" t="s">
        <v>321</v>
      </c>
      <c r="AA150" s="1" t="s">
        <v>932</v>
      </c>
      <c r="AB150" s="1" t="s">
        <v>1680</v>
      </c>
    </row>
    <row r="151" spans="17:28" ht="12.75">
      <c r="Q151" s="1" t="s">
        <v>933</v>
      </c>
      <c r="R151" s="1" t="s">
        <v>933</v>
      </c>
      <c r="S151" s="1" t="s">
        <v>912</v>
      </c>
      <c r="T151" s="1">
        <v>1</v>
      </c>
      <c r="U151" s="1">
        <v>151</v>
      </c>
      <c r="V151" s="1" t="s">
        <v>563</v>
      </c>
      <c r="W151" s="1">
        <v>39</v>
      </c>
      <c r="X151" s="1">
        <v>400</v>
      </c>
      <c r="Z151" s="1" t="s">
        <v>321</v>
      </c>
      <c r="AA151" s="1" t="s">
        <v>932</v>
      </c>
      <c r="AB151" s="1" t="s">
        <v>563</v>
      </c>
    </row>
    <row r="152" spans="17:28" ht="12.75">
      <c r="Q152" s="1" t="s">
        <v>1681</v>
      </c>
      <c r="R152" s="1" t="s">
        <v>1681</v>
      </c>
      <c r="S152" s="1" t="s">
        <v>912</v>
      </c>
      <c r="T152" s="1">
        <v>1</v>
      </c>
      <c r="U152" s="1">
        <v>152</v>
      </c>
      <c r="V152" s="1" t="s">
        <v>1682</v>
      </c>
      <c r="W152" s="1">
        <v>39</v>
      </c>
      <c r="X152" s="1">
        <v>410</v>
      </c>
      <c r="Z152" s="1" t="s">
        <v>321</v>
      </c>
      <c r="AA152" s="1" t="s">
        <v>932</v>
      </c>
      <c r="AB152" s="1" t="s">
        <v>1682</v>
      </c>
    </row>
    <row r="153" spans="17:28" ht="12.75">
      <c r="Q153" s="1" t="s">
        <v>934</v>
      </c>
      <c r="R153" s="1" t="s">
        <v>934</v>
      </c>
      <c r="S153" s="1" t="s">
        <v>912</v>
      </c>
      <c r="T153" s="1">
        <v>1</v>
      </c>
      <c r="U153" s="1">
        <v>153</v>
      </c>
      <c r="V153" s="1" t="s">
        <v>564</v>
      </c>
      <c r="W153" s="1">
        <v>39</v>
      </c>
      <c r="X153" s="1">
        <v>460</v>
      </c>
      <c r="Z153" s="1" t="s">
        <v>321</v>
      </c>
      <c r="AA153" s="1" t="s">
        <v>932</v>
      </c>
      <c r="AB153" s="1" t="s">
        <v>564</v>
      </c>
    </row>
    <row r="154" spans="17:27" ht="12.75">
      <c r="Q154" s="1" t="s">
        <v>931</v>
      </c>
      <c r="R154" s="1" t="s">
        <v>935</v>
      </c>
      <c r="S154" s="1" t="s">
        <v>912</v>
      </c>
      <c r="T154" s="1">
        <v>3</v>
      </c>
      <c r="U154" s="1">
        <v>154</v>
      </c>
      <c r="V154" s="1" t="s">
        <v>132</v>
      </c>
      <c r="W154" s="1">
        <v>39</v>
      </c>
      <c r="Z154" s="1" t="s">
        <v>321</v>
      </c>
      <c r="AA154" s="1" t="s">
        <v>932</v>
      </c>
    </row>
    <row r="155" spans="17:28" ht="12.75">
      <c r="Q155" s="1" t="s">
        <v>936</v>
      </c>
      <c r="R155" s="1" t="s">
        <v>936</v>
      </c>
      <c r="S155" s="1" t="s">
        <v>912</v>
      </c>
      <c r="T155" s="1">
        <v>1</v>
      </c>
      <c r="U155" s="1">
        <v>155</v>
      </c>
      <c r="V155" s="1" t="s">
        <v>554</v>
      </c>
      <c r="W155" s="1">
        <v>50</v>
      </c>
      <c r="X155" s="1">
        <v>501</v>
      </c>
      <c r="Z155" s="1" t="s">
        <v>321</v>
      </c>
      <c r="AA155" s="1" t="s">
        <v>553</v>
      </c>
      <c r="AB155" s="1" t="s">
        <v>554</v>
      </c>
    </row>
    <row r="156" spans="17:28" ht="12.75">
      <c r="Q156" s="1" t="s">
        <v>937</v>
      </c>
      <c r="R156" s="1" t="s">
        <v>937</v>
      </c>
      <c r="S156" s="1" t="s">
        <v>912</v>
      </c>
      <c r="T156" s="1">
        <v>1</v>
      </c>
      <c r="U156" s="1">
        <v>156</v>
      </c>
      <c r="V156" s="1" t="s">
        <v>555</v>
      </c>
      <c r="W156" s="1">
        <v>50</v>
      </c>
      <c r="X156" s="1">
        <v>508</v>
      </c>
      <c r="Z156" s="1" t="s">
        <v>321</v>
      </c>
      <c r="AA156" s="1" t="s">
        <v>553</v>
      </c>
      <c r="AB156" s="1" t="s">
        <v>555</v>
      </c>
    </row>
    <row r="157" spans="17:28" ht="12.75">
      <c r="Q157" s="1" t="s">
        <v>938</v>
      </c>
      <c r="R157" s="1" t="s">
        <v>938</v>
      </c>
      <c r="S157" s="1" t="s">
        <v>912</v>
      </c>
      <c r="T157" s="1">
        <v>1</v>
      </c>
      <c r="U157" s="1">
        <v>157</v>
      </c>
      <c r="V157" s="1" t="s">
        <v>556</v>
      </c>
      <c r="W157" s="1">
        <v>50</v>
      </c>
      <c r="X157" s="1">
        <v>540</v>
      </c>
      <c r="Z157" s="1" t="s">
        <v>321</v>
      </c>
      <c r="AA157" s="1" t="s">
        <v>553</v>
      </c>
      <c r="AB157" s="1" t="s">
        <v>556</v>
      </c>
    </row>
    <row r="158" spans="17:28" ht="12.75">
      <c r="Q158" s="1" t="s">
        <v>939</v>
      </c>
      <c r="R158" s="1" t="s">
        <v>939</v>
      </c>
      <c r="S158" s="1" t="s">
        <v>912</v>
      </c>
      <c r="T158" s="1">
        <v>1</v>
      </c>
      <c r="U158" s="1">
        <v>158</v>
      </c>
      <c r="V158" s="1" t="s">
        <v>557</v>
      </c>
      <c r="W158" s="1">
        <v>50</v>
      </c>
      <c r="X158" s="1">
        <v>541</v>
      </c>
      <c r="Z158" s="1" t="s">
        <v>321</v>
      </c>
      <c r="AA158" s="1" t="s">
        <v>553</v>
      </c>
      <c r="AB158" s="1" t="s">
        <v>557</v>
      </c>
    </row>
    <row r="159" spans="17:28" ht="12.75">
      <c r="Q159" s="1" t="s">
        <v>940</v>
      </c>
      <c r="R159" s="1" t="s">
        <v>940</v>
      </c>
      <c r="S159" s="1" t="s">
        <v>912</v>
      </c>
      <c r="T159" s="1">
        <v>1</v>
      </c>
      <c r="U159" s="1">
        <v>159</v>
      </c>
      <c r="V159" s="1" t="s">
        <v>558</v>
      </c>
      <c r="W159" s="1">
        <v>50</v>
      </c>
      <c r="X159" s="1">
        <v>590</v>
      </c>
      <c r="Z159" s="1" t="s">
        <v>321</v>
      </c>
      <c r="AA159" s="1" t="s">
        <v>553</v>
      </c>
      <c r="AB159" s="1" t="s">
        <v>558</v>
      </c>
    </row>
    <row r="160" spans="17:27" ht="12.75">
      <c r="Q160" s="1" t="s">
        <v>1683</v>
      </c>
      <c r="R160" s="1" t="s">
        <v>941</v>
      </c>
      <c r="S160" s="1" t="s">
        <v>912</v>
      </c>
      <c r="T160" s="1">
        <v>2</v>
      </c>
      <c r="U160" s="1">
        <v>160</v>
      </c>
      <c r="V160" s="1" t="s">
        <v>553</v>
      </c>
      <c r="W160" s="1">
        <v>50</v>
      </c>
      <c r="Z160" s="1" t="s">
        <v>321</v>
      </c>
      <c r="AA160" s="1" t="s">
        <v>553</v>
      </c>
    </row>
    <row r="161" spans="17:28" ht="12.75">
      <c r="Q161" s="1" t="s">
        <v>1684</v>
      </c>
      <c r="R161" s="1" t="s">
        <v>1684</v>
      </c>
      <c r="S161" s="1" t="s">
        <v>912</v>
      </c>
      <c r="T161" s="1">
        <v>1</v>
      </c>
      <c r="U161" s="1">
        <v>161</v>
      </c>
      <c r="V161" s="1" t="s">
        <v>1685</v>
      </c>
      <c r="W161" s="1">
        <v>70</v>
      </c>
      <c r="X161" s="1">
        <v>621</v>
      </c>
      <c r="Z161" s="1" t="s">
        <v>321</v>
      </c>
      <c r="AA161" s="1" t="s">
        <v>559</v>
      </c>
      <c r="AB161" s="1" t="s">
        <v>1685</v>
      </c>
    </row>
    <row r="162" spans="17:28" ht="12.75">
      <c r="Q162" s="1" t="s">
        <v>1686</v>
      </c>
      <c r="R162" s="1" t="s">
        <v>1686</v>
      </c>
      <c r="S162" s="1" t="s">
        <v>912</v>
      </c>
      <c r="T162" s="1">
        <v>1</v>
      </c>
      <c r="U162" s="1">
        <v>162</v>
      </c>
      <c r="V162" s="1" t="s">
        <v>1687</v>
      </c>
      <c r="W162" s="1">
        <v>70</v>
      </c>
      <c r="X162" s="1">
        <v>626</v>
      </c>
      <c r="Z162" s="1" t="s">
        <v>321</v>
      </c>
      <c r="AA162" s="1" t="s">
        <v>559</v>
      </c>
      <c r="AB162" s="1" t="s">
        <v>1687</v>
      </c>
    </row>
    <row r="163" spans="17:28" ht="12.75">
      <c r="Q163" s="1" t="s">
        <v>942</v>
      </c>
      <c r="R163" s="1" t="s">
        <v>942</v>
      </c>
      <c r="S163" s="1" t="s">
        <v>912</v>
      </c>
      <c r="T163" s="1">
        <v>1</v>
      </c>
      <c r="U163" s="1">
        <v>163</v>
      </c>
      <c r="V163" s="1" t="s">
        <v>565</v>
      </c>
      <c r="W163" s="1">
        <v>70</v>
      </c>
      <c r="X163" s="1">
        <v>627</v>
      </c>
      <c r="Z163" s="1" t="s">
        <v>321</v>
      </c>
      <c r="AA163" s="1" t="s">
        <v>559</v>
      </c>
      <c r="AB163" s="1" t="s">
        <v>565</v>
      </c>
    </row>
    <row r="164" spans="17:28" ht="12.75">
      <c r="Q164" s="1" t="s">
        <v>943</v>
      </c>
      <c r="R164" s="1" t="s">
        <v>943</v>
      </c>
      <c r="S164" s="1" t="s">
        <v>912</v>
      </c>
      <c r="T164" s="1">
        <v>1</v>
      </c>
      <c r="U164" s="1">
        <v>164</v>
      </c>
      <c r="V164" s="1" t="s">
        <v>566</v>
      </c>
      <c r="W164" s="1">
        <v>70</v>
      </c>
      <c r="X164" s="1">
        <v>628</v>
      </c>
      <c r="Z164" s="1" t="s">
        <v>321</v>
      </c>
      <c r="AA164" s="1" t="s">
        <v>559</v>
      </c>
      <c r="AB164" s="1" t="s">
        <v>566</v>
      </c>
    </row>
    <row r="165" spans="17:28" ht="12.75">
      <c r="Q165" s="1" t="s">
        <v>944</v>
      </c>
      <c r="R165" s="1" t="s">
        <v>944</v>
      </c>
      <c r="S165" s="1" t="s">
        <v>912</v>
      </c>
      <c r="T165" s="1">
        <v>1</v>
      </c>
      <c r="U165" s="1">
        <v>165</v>
      </c>
      <c r="V165" s="1" t="s">
        <v>567</v>
      </c>
      <c r="W165" s="1">
        <v>70</v>
      </c>
      <c r="X165" s="1">
        <v>630</v>
      </c>
      <c r="Z165" s="1" t="s">
        <v>321</v>
      </c>
      <c r="AA165" s="1" t="s">
        <v>559</v>
      </c>
      <c r="AB165" s="1" t="s">
        <v>567</v>
      </c>
    </row>
    <row r="166" spans="17:28" ht="12.75">
      <c r="Q166" s="1" t="s">
        <v>945</v>
      </c>
      <c r="R166" s="1" t="s">
        <v>945</v>
      </c>
      <c r="S166" s="1" t="s">
        <v>912</v>
      </c>
      <c r="T166" s="1">
        <v>1</v>
      </c>
      <c r="U166" s="1">
        <v>166</v>
      </c>
      <c r="V166" s="1" t="s">
        <v>568</v>
      </c>
      <c r="W166" s="1">
        <v>70</v>
      </c>
      <c r="X166" s="1">
        <v>631</v>
      </c>
      <c r="Z166" s="1" t="s">
        <v>321</v>
      </c>
      <c r="AA166" s="1" t="s">
        <v>559</v>
      </c>
      <c r="AB166" s="1" t="s">
        <v>568</v>
      </c>
    </row>
    <row r="167" spans="17:28" ht="12.75">
      <c r="Q167" s="1" t="s">
        <v>946</v>
      </c>
      <c r="R167" s="1" t="s">
        <v>946</v>
      </c>
      <c r="S167" s="1" t="s">
        <v>912</v>
      </c>
      <c r="T167" s="1">
        <v>1</v>
      </c>
      <c r="U167" s="1">
        <v>167</v>
      </c>
      <c r="V167" s="1" t="s">
        <v>569</v>
      </c>
      <c r="W167" s="1">
        <v>70</v>
      </c>
      <c r="X167" s="1">
        <v>632</v>
      </c>
      <c r="Z167" s="1" t="s">
        <v>321</v>
      </c>
      <c r="AA167" s="1" t="s">
        <v>559</v>
      </c>
      <c r="AB167" s="1" t="s">
        <v>569</v>
      </c>
    </row>
    <row r="168" spans="17:28" ht="12.75">
      <c r="Q168" s="1" t="s">
        <v>947</v>
      </c>
      <c r="R168" s="1" t="s">
        <v>947</v>
      </c>
      <c r="S168" s="1" t="s">
        <v>912</v>
      </c>
      <c r="T168" s="1">
        <v>1</v>
      </c>
      <c r="U168" s="1">
        <v>168</v>
      </c>
      <c r="V168" s="1" t="s">
        <v>570</v>
      </c>
      <c r="W168" s="1">
        <v>70</v>
      </c>
      <c r="X168" s="1">
        <v>633</v>
      </c>
      <c r="Z168" s="1" t="s">
        <v>321</v>
      </c>
      <c r="AA168" s="1" t="s">
        <v>559</v>
      </c>
      <c r="AB168" s="1" t="s">
        <v>570</v>
      </c>
    </row>
    <row r="169" spans="17:28" ht="12.75">
      <c r="Q169" s="1" t="s">
        <v>948</v>
      </c>
      <c r="R169" s="1" t="s">
        <v>948</v>
      </c>
      <c r="S169" s="1" t="s">
        <v>912</v>
      </c>
      <c r="T169" s="1">
        <v>1</v>
      </c>
      <c r="U169" s="1">
        <v>169</v>
      </c>
      <c r="V169" s="1" t="s">
        <v>571</v>
      </c>
      <c r="W169" s="1">
        <v>70</v>
      </c>
      <c r="X169" s="1">
        <v>635</v>
      </c>
      <c r="Z169" s="1" t="s">
        <v>321</v>
      </c>
      <c r="AA169" s="1" t="s">
        <v>559</v>
      </c>
      <c r="AB169" s="1" t="s">
        <v>571</v>
      </c>
    </row>
    <row r="170" spans="17:28" ht="12.75">
      <c r="Q170" s="1" t="s">
        <v>949</v>
      </c>
      <c r="R170" s="1" t="s">
        <v>949</v>
      </c>
      <c r="S170" s="1" t="s">
        <v>912</v>
      </c>
      <c r="T170" s="1">
        <v>1</v>
      </c>
      <c r="U170" s="1">
        <v>170</v>
      </c>
      <c r="V170" s="1" t="s">
        <v>572</v>
      </c>
      <c r="W170" s="1">
        <v>70</v>
      </c>
      <c r="X170" s="1">
        <v>636</v>
      </c>
      <c r="Z170" s="1" t="s">
        <v>321</v>
      </c>
      <c r="AA170" s="1" t="s">
        <v>559</v>
      </c>
      <c r="AB170" s="1" t="s">
        <v>572</v>
      </c>
    </row>
    <row r="171" spans="17:28" ht="12.75">
      <c r="Q171" s="1" t="s">
        <v>950</v>
      </c>
      <c r="R171" s="1" t="s">
        <v>950</v>
      </c>
      <c r="S171" s="1" t="s">
        <v>912</v>
      </c>
      <c r="T171" s="1">
        <v>1</v>
      </c>
      <c r="U171" s="1">
        <v>171</v>
      </c>
      <c r="V171" s="1" t="s">
        <v>573</v>
      </c>
      <c r="W171" s="1">
        <v>70</v>
      </c>
      <c r="X171" s="1">
        <v>637</v>
      </c>
      <c r="Z171" s="1" t="s">
        <v>321</v>
      </c>
      <c r="AA171" s="1" t="s">
        <v>559</v>
      </c>
      <c r="AB171" s="1" t="s">
        <v>573</v>
      </c>
    </row>
    <row r="172" spans="17:28" ht="12.75">
      <c r="Q172" s="1" t="s">
        <v>1688</v>
      </c>
      <c r="R172" s="1" t="s">
        <v>1688</v>
      </c>
      <c r="S172" s="1" t="s">
        <v>912</v>
      </c>
      <c r="T172" s="1">
        <v>1</v>
      </c>
      <c r="U172" s="1">
        <v>172</v>
      </c>
      <c r="V172" s="1" t="s">
        <v>1689</v>
      </c>
      <c r="W172" s="1">
        <v>70</v>
      </c>
      <c r="X172" s="1">
        <v>738</v>
      </c>
      <c r="Z172" s="1" t="s">
        <v>321</v>
      </c>
      <c r="AA172" s="1" t="s">
        <v>559</v>
      </c>
      <c r="AB172" s="1" t="s">
        <v>1689</v>
      </c>
    </row>
    <row r="173" spans="17:28" ht="12.75">
      <c r="Q173" s="1" t="s">
        <v>951</v>
      </c>
      <c r="R173" s="1" t="s">
        <v>951</v>
      </c>
      <c r="S173" s="1" t="s">
        <v>912</v>
      </c>
      <c r="T173" s="1">
        <v>1</v>
      </c>
      <c r="U173" s="1">
        <v>173</v>
      </c>
      <c r="V173" s="1" t="s">
        <v>560</v>
      </c>
      <c r="W173" s="1">
        <v>70</v>
      </c>
      <c r="X173" s="1">
        <v>739</v>
      </c>
      <c r="Z173" s="1" t="s">
        <v>321</v>
      </c>
      <c r="AA173" s="1" t="s">
        <v>559</v>
      </c>
      <c r="AB173" s="1" t="s">
        <v>560</v>
      </c>
    </row>
    <row r="174" spans="17:28" ht="12.75">
      <c r="Q174" s="1" t="s">
        <v>952</v>
      </c>
      <c r="R174" s="1" t="s">
        <v>952</v>
      </c>
      <c r="S174" s="1" t="s">
        <v>912</v>
      </c>
      <c r="T174" s="1">
        <v>1</v>
      </c>
      <c r="U174" s="1">
        <v>174</v>
      </c>
      <c r="V174" s="1" t="s">
        <v>574</v>
      </c>
      <c r="W174" s="1">
        <v>70</v>
      </c>
      <c r="X174" s="1">
        <v>740</v>
      </c>
      <c r="Z174" s="1" t="s">
        <v>321</v>
      </c>
      <c r="AA174" s="1" t="s">
        <v>559</v>
      </c>
      <c r="AB174" s="1" t="s">
        <v>574</v>
      </c>
    </row>
    <row r="175" spans="17:28" ht="12.75">
      <c r="Q175" s="1" t="s">
        <v>953</v>
      </c>
      <c r="R175" s="1" t="s">
        <v>953</v>
      </c>
      <c r="S175" s="1" t="s">
        <v>912</v>
      </c>
      <c r="T175" s="1">
        <v>1</v>
      </c>
      <c r="U175" s="1">
        <v>175</v>
      </c>
      <c r="V175" s="1" t="s">
        <v>561</v>
      </c>
      <c r="W175" s="1">
        <v>70</v>
      </c>
      <c r="X175" s="1">
        <v>741</v>
      </c>
      <c r="Z175" s="1" t="s">
        <v>321</v>
      </c>
      <c r="AA175" s="1" t="s">
        <v>559</v>
      </c>
      <c r="AB175" s="1" t="s">
        <v>561</v>
      </c>
    </row>
    <row r="176" spans="17:28" ht="12.75">
      <c r="Q176" s="1" t="s">
        <v>954</v>
      </c>
      <c r="R176" s="1" t="s">
        <v>954</v>
      </c>
      <c r="S176" s="1" t="s">
        <v>912</v>
      </c>
      <c r="T176" s="1">
        <v>1</v>
      </c>
      <c r="U176" s="1">
        <v>176</v>
      </c>
      <c r="V176" s="1" t="s">
        <v>575</v>
      </c>
      <c r="W176" s="1">
        <v>70</v>
      </c>
      <c r="X176" s="1">
        <v>742</v>
      </c>
      <c r="Z176" s="1" t="s">
        <v>321</v>
      </c>
      <c r="AA176" s="1" t="s">
        <v>559</v>
      </c>
      <c r="AB176" s="1" t="s">
        <v>575</v>
      </c>
    </row>
    <row r="177" spans="17:28" ht="12.75">
      <c r="Q177" s="1" t="s">
        <v>955</v>
      </c>
      <c r="R177" s="1" t="s">
        <v>955</v>
      </c>
      <c r="S177" s="1" t="s">
        <v>912</v>
      </c>
      <c r="T177" s="1">
        <v>1</v>
      </c>
      <c r="U177" s="1">
        <v>177</v>
      </c>
      <c r="V177" s="1" t="s">
        <v>576</v>
      </c>
      <c r="W177" s="1">
        <v>70</v>
      </c>
      <c r="X177" s="1">
        <v>743</v>
      </c>
      <c r="Z177" s="1" t="s">
        <v>321</v>
      </c>
      <c r="AA177" s="1" t="s">
        <v>559</v>
      </c>
      <c r="AB177" s="1" t="s">
        <v>576</v>
      </c>
    </row>
    <row r="178" spans="17:28" ht="12.75">
      <c r="Q178" s="1" t="s">
        <v>956</v>
      </c>
      <c r="R178" s="1" t="s">
        <v>956</v>
      </c>
      <c r="S178" s="1" t="s">
        <v>912</v>
      </c>
      <c r="T178" s="1">
        <v>1</v>
      </c>
      <c r="U178" s="1">
        <v>178</v>
      </c>
      <c r="V178" s="1" t="s">
        <v>577</v>
      </c>
      <c r="W178" s="1">
        <v>70</v>
      </c>
      <c r="X178" s="1">
        <v>744</v>
      </c>
      <c r="Z178" s="1" t="s">
        <v>321</v>
      </c>
      <c r="AA178" s="1" t="s">
        <v>559</v>
      </c>
      <c r="AB178" s="1" t="s">
        <v>577</v>
      </c>
    </row>
    <row r="179" spans="17:28" ht="12.75">
      <c r="Q179" s="1" t="s">
        <v>957</v>
      </c>
      <c r="R179" s="1" t="s">
        <v>957</v>
      </c>
      <c r="S179" s="1" t="s">
        <v>912</v>
      </c>
      <c r="T179" s="1">
        <v>1</v>
      </c>
      <c r="U179" s="1">
        <v>179</v>
      </c>
      <c r="V179" s="1" t="s">
        <v>578</v>
      </c>
      <c r="W179" s="1">
        <v>70</v>
      </c>
      <c r="X179" s="1">
        <v>771</v>
      </c>
      <c r="Z179" s="1" t="s">
        <v>321</v>
      </c>
      <c r="AA179" s="1" t="s">
        <v>559</v>
      </c>
      <c r="AB179" s="1" t="s">
        <v>578</v>
      </c>
    </row>
    <row r="180" spans="17:28" ht="12.75">
      <c r="Q180" s="1" t="s">
        <v>1690</v>
      </c>
      <c r="R180" s="1" t="s">
        <v>1690</v>
      </c>
      <c r="S180" s="1" t="s">
        <v>912</v>
      </c>
      <c r="T180" s="1">
        <v>1</v>
      </c>
      <c r="U180" s="1">
        <v>180</v>
      </c>
      <c r="V180" s="1" t="s">
        <v>1691</v>
      </c>
      <c r="W180" s="1">
        <v>70</v>
      </c>
      <c r="X180" s="1">
        <v>772</v>
      </c>
      <c r="Z180" s="1" t="s">
        <v>321</v>
      </c>
      <c r="AA180" s="1" t="s">
        <v>559</v>
      </c>
      <c r="AB180" s="1" t="s">
        <v>1691</v>
      </c>
    </row>
    <row r="181" spans="17:28" ht="12.75">
      <c r="Q181" s="1" t="s">
        <v>958</v>
      </c>
      <c r="R181" s="1" t="s">
        <v>958</v>
      </c>
      <c r="S181" s="1" t="s">
        <v>912</v>
      </c>
      <c r="T181" s="1">
        <v>1</v>
      </c>
      <c r="U181" s="1">
        <v>181</v>
      </c>
      <c r="V181" s="1" t="s">
        <v>579</v>
      </c>
      <c r="W181" s="1">
        <v>70</v>
      </c>
      <c r="X181" s="1">
        <v>780</v>
      </c>
      <c r="Z181" s="1" t="s">
        <v>321</v>
      </c>
      <c r="AA181" s="1" t="s">
        <v>559</v>
      </c>
      <c r="AB181" s="1" t="s">
        <v>579</v>
      </c>
    </row>
    <row r="182" spans="17:28" ht="12.75">
      <c r="Q182" s="1" t="s">
        <v>959</v>
      </c>
      <c r="R182" s="1" t="s">
        <v>959</v>
      </c>
      <c r="S182" s="1" t="s">
        <v>912</v>
      </c>
      <c r="T182" s="1">
        <v>1</v>
      </c>
      <c r="U182" s="1">
        <v>182</v>
      </c>
      <c r="V182" s="1" t="s">
        <v>672</v>
      </c>
      <c r="W182" s="1">
        <v>70</v>
      </c>
      <c r="X182" s="1">
        <v>790</v>
      </c>
      <c r="Z182" s="1" t="s">
        <v>321</v>
      </c>
      <c r="AA182" s="1" t="s">
        <v>559</v>
      </c>
      <c r="AB182" s="1" t="s">
        <v>672</v>
      </c>
    </row>
    <row r="183" spans="17:27" ht="12.75">
      <c r="Q183" s="1" t="s">
        <v>1692</v>
      </c>
      <c r="R183" s="1" t="s">
        <v>960</v>
      </c>
      <c r="S183" s="1" t="s">
        <v>912</v>
      </c>
      <c r="T183" s="1">
        <v>2</v>
      </c>
      <c r="U183" s="1">
        <v>183</v>
      </c>
      <c r="V183" s="1" t="s">
        <v>559</v>
      </c>
      <c r="W183" s="1">
        <v>70</v>
      </c>
      <c r="Z183" s="1" t="s">
        <v>321</v>
      </c>
      <c r="AA183" s="1" t="s">
        <v>559</v>
      </c>
    </row>
    <row r="184" spans="17:28" ht="12.75">
      <c r="Q184" s="1" t="s">
        <v>961</v>
      </c>
      <c r="R184" s="1" t="s">
        <v>961</v>
      </c>
      <c r="S184" s="1" t="s">
        <v>912</v>
      </c>
      <c r="T184" s="1">
        <v>1</v>
      </c>
      <c r="U184" s="1">
        <v>184</v>
      </c>
      <c r="V184" s="1" t="s">
        <v>581</v>
      </c>
      <c r="W184" s="1">
        <v>80</v>
      </c>
      <c r="X184" s="1">
        <v>800</v>
      </c>
      <c r="Z184" s="1" t="s">
        <v>321</v>
      </c>
      <c r="AA184" s="1" t="s">
        <v>580</v>
      </c>
      <c r="AB184" s="1" t="s">
        <v>581</v>
      </c>
    </row>
    <row r="185" spans="17:28" ht="12.75">
      <c r="Q185" s="1" t="s">
        <v>1693</v>
      </c>
      <c r="R185" s="1" t="s">
        <v>1693</v>
      </c>
      <c r="S185" s="1" t="s">
        <v>912</v>
      </c>
      <c r="T185" s="1">
        <v>1</v>
      </c>
      <c r="U185" s="1">
        <v>185</v>
      </c>
      <c r="V185" s="1" t="s">
        <v>1694</v>
      </c>
      <c r="W185" s="1">
        <v>80</v>
      </c>
      <c r="X185" s="1">
        <v>810</v>
      </c>
      <c r="Z185" s="1" t="s">
        <v>321</v>
      </c>
      <c r="AA185" s="1" t="s">
        <v>580</v>
      </c>
      <c r="AB185" s="1" t="s">
        <v>1694</v>
      </c>
    </row>
    <row r="186" spans="17:27" ht="12.75">
      <c r="Q186" s="1" t="s">
        <v>961</v>
      </c>
      <c r="R186" s="1" t="s">
        <v>962</v>
      </c>
      <c r="S186" s="1" t="s">
        <v>912</v>
      </c>
      <c r="T186" s="1">
        <v>2</v>
      </c>
      <c r="U186" s="1">
        <v>186</v>
      </c>
      <c r="V186" s="1" t="s">
        <v>580</v>
      </c>
      <c r="W186" s="1">
        <v>80</v>
      </c>
      <c r="Z186" s="1" t="s">
        <v>321</v>
      </c>
      <c r="AA186" s="1" t="s">
        <v>580</v>
      </c>
    </row>
    <row r="187" spans="17:28" ht="12.75">
      <c r="Q187" s="1" t="s">
        <v>963</v>
      </c>
      <c r="R187" s="1" t="s">
        <v>963</v>
      </c>
      <c r="S187" s="1" t="s">
        <v>912</v>
      </c>
      <c r="T187" s="1">
        <v>1</v>
      </c>
      <c r="U187" s="1">
        <v>187</v>
      </c>
      <c r="V187" s="1" t="s">
        <v>583</v>
      </c>
      <c r="W187" s="1">
        <v>84</v>
      </c>
      <c r="X187" s="1">
        <v>840</v>
      </c>
      <c r="Z187" s="1" t="s">
        <v>321</v>
      </c>
      <c r="AA187" s="1" t="s">
        <v>582</v>
      </c>
      <c r="AB187" s="1" t="s">
        <v>583</v>
      </c>
    </row>
    <row r="188" spans="17:27" ht="12.75">
      <c r="Q188" s="1" t="s">
        <v>963</v>
      </c>
      <c r="R188" s="1" t="s">
        <v>964</v>
      </c>
      <c r="S188" s="1" t="s">
        <v>912</v>
      </c>
      <c r="T188" s="1">
        <v>2</v>
      </c>
      <c r="U188" s="1">
        <v>188</v>
      </c>
      <c r="V188" s="1" t="s">
        <v>582</v>
      </c>
      <c r="W188" s="1">
        <v>84</v>
      </c>
      <c r="Z188" s="1" t="s">
        <v>321</v>
      </c>
      <c r="AA188" s="1" t="s">
        <v>582</v>
      </c>
    </row>
    <row r="189" spans="17:26" ht="12.75">
      <c r="Q189" s="1" t="s">
        <v>1683</v>
      </c>
      <c r="R189" s="1" t="s">
        <v>965</v>
      </c>
      <c r="S189" s="1" t="s">
        <v>912</v>
      </c>
      <c r="T189" s="1">
        <v>3</v>
      </c>
      <c r="U189" s="1">
        <v>189</v>
      </c>
      <c r="V189" s="1" t="s">
        <v>605</v>
      </c>
      <c r="Z189" s="1" t="s">
        <v>321</v>
      </c>
    </row>
    <row r="190" spans="17:26" ht="12.75">
      <c r="Q190" s="1" t="s">
        <v>931</v>
      </c>
      <c r="R190" s="1" t="s">
        <v>965</v>
      </c>
      <c r="S190" s="1" t="s">
        <v>912</v>
      </c>
      <c r="T190" s="1">
        <v>4</v>
      </c>
      <c r="U190" s="1">
        <v>190</v>
      </c>
      <c r="V190" s="1" t="s">
        <v>88</v>
      </c>
      <c r="Z190" s="1" t="s">
        <v>321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 topLeftCell="A1">
      <selection activeCell="S38" sqref="S38"/>
    </sheetView>
  </sheetViews>
  <sheetFormatPr defaultColWidth="11.421875" defaultRowHeight="12.75"/>
  <cols>
    <col min="1" max="1" width="29.140625" style="1" customWidth="1"/>
    <col min="2" max="2" width="8.421875" style="5" customWidth="1"/>
    <col min="3" max="16384" width="11.421875" style="1" customWidth="1"/>
  </cols>
  <sheetData>
    <row r="1" spans="1:2" ht="12.75">
      <c r="A1" s="218" t="s">
        <v>969</v>
      </c>
      <c r="B1" s="5" t="s">
        <v>25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Visma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Audun Wiig</dc:creator>
  <cp:keywords/>
  <dc:description/>
  <cp:lastModifiedBy>Audun Wiig</cp:lastModifiedBy>
  <cp:lastPrinted>2022-10-06T22:34:11Z</cp:lastPrinted>
  <dcterms:created xsi:type="dcterms:W3CDTF">2008-05-18T22:00:29Z</dcterms:created>
  <dcterms:modified xsi:type="dcterms:W3CDTF">2023-01-30T12:49:09Z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