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SpreadsheetGear 8.7.15.102"/>
  <workbookPr/>
  <bookViews>
    <workbookView xWindow="65416" yWindow="65416" windowWidth="29040" windowHeight="15990" activeTab="0"/>
  </bookViews>
  <sheets>
    <sheet name="Saldobalanse" sheetId="1" r:id="rId1"/>
  </sheets>
  <definedNames>
    <definedName name="_xlfn.IFERROR" hidden="1">#NAME?</definedName>
    <definedName name="OSR_GearWriter_0" localSheetId="0">'Saldobalanse'!$B$4:$C$4</definedName>
    <definedName name="OSR_GearWriter_1" localSheetId="0">'Saldobalanse'!$E$4:$Q$4</definedName>
  </definedNames>
  <calcPr calcId="40001"/>
</workbook>
</file>

<file path=xl/sharedStrings.xml><?xml version="1.0" encoding="utf-8"?>
<sst xmlns="http://schemas.openxmlformats.org/spreadsheetml/2006/main" count="145" uniqueCount="142">
  <si>
    <t>Sum resultat</t>
  </si>
  <si>
    <t>Eksterne datasystemer</t>
  </si>
  <si>
    <t>Mellomværende SG Produksjon</t>
  </si>
  <si>
    <t>Lev.gj. til selskap i samme konsern</t>
  </si>
  <si>
    <t>Bidragstrekk</t>
  </si>
  <si>
    <t>Oppgjørskonto merverdiavgift</t>
  </si>
  <si>
    <t>Skyldig konsernbidrag</t>
  </si>
  <si>
    <t>Arb.avgift og pensjonskostn.</t>
  </si>
  <si>
    <t>Ekstern revisjon</t>
  </si>
  <si>
    <t>Kontormaskiner</t>
  </si>
  <si>
    <t>Aksjer LivePro Stage AS</t>
  </si>
  <si>
    <t>Nedkriving aksjer i Haugaland Talentutvikling AS</t>
  </si>
  <si>
    <t>Kundefordr. konsern</t>
  </si>
  <si>
    <t>Lån LivePro AS</t>
  </si>
  <si>
    <t>Mellomv. SG Utleie AS</t>
  </si>
  <si>
    <t>Utsatt skatt</t>
  </si>
  <si>
    <t>Forskuddstrekk</t>
  </si>
  <si>
    <t>Andre trekk ansatte</t>
  </si>
  <si>
    <t>Mellomværende Gudmund Grindhaug</t>
  </si>
  <si>
    <t>Salgsinntekter, avg.pliktig</t>
  </si>
  <si>
    <t>Revisjons- og regnskapshonorar</t>
  </si>
  <si>
    <t>Salgskostnad</t>
  </si>
  <si>
    <t>Kontingent, ikke fradragsberettiget</t>
  </si>
  <si>
    <t>Bank og kortgebyrer</t>
  </si>
  <si>
    <t>Aksjer i Stillasgruppen Drift AS</t>
  </si>
  <si>
    <t>Aksjer Avaldsnes Elite AS</t>
  </si>
  <si>
    <t>Aksjonærlån Kløver Invest</t>
  </si>
  <si>
    <t>Bank DNB 1506 05 12857</t>
  </si>
  <si>
    <t>Skattetrekkskonto DNB 1506 07 55571</t>
  </si>
  <si>
    <t>Annen innskutt egenkapital</t>
  </si>
  <si>
    <t>TS revisjon korr. leverandører</t>
  </si>
  <si>
    <t>Arb.avg. påløpne feriepenger</t>
  </si>
  <si>
    <t>Renovasjon, vann, avløp o.l.</t>
  </si>
  <si>
    <t>Aviser, tidsskrifter, bøker o.l.</t>
  </si>
  <si>
    <t>Porto</t>
  </si>
  <si>
    <t>Avrundingskonto</t>
  </si>
  <si>
    <t>Representasjon, ikke fradragsberettiget</t>
  </si>
  <si>
    <t>Bevegelse</t>
  </si>
  <si>
    <t>Utgående MVA høy sats</t>
  </si>
  <si>
    <t>Inngående MVA lav sats</t>
  </si>
  <si>
    <t>Mellomværende Brian Sjøen</t>
  </si>
  <si>
    <t>Kontingent, fradragsberettiget</t>
  </si>
  <si>
    <t>hittil i år</t>
  </si>
  <si>
    <t>Inventar</t>
  </si>
  <si>
    <t>Aksjer FK Haugesund AS</t>
  </si>
  <si>
    <t>Fordringer på selskaper i samme konsern</t>
  </si>
  <si>
    <t>Mellomv. Stillasutleie Karmøy AS</t>
  </si>
  <si>
    <t>Mellomværende Kløver Inv / Fryseriet - Stillasgruppen Property</t>
  </si>
  <si>
    <t>Periodiseringskonto lønn Gr. 50</t>
  </si>
  <si>
    <t>Fri telefon</t>
  </si>
  <si>
    <t>Annen fordel i arbeidsforhold</t>
  </si>
  <si>
    <t>Mindre ansaffelser (tlf, osv)</t>
  </si>
  <si>
    <t>Honorar for øk. og juridisk bistand</t>
  </si>
  <si>
    <t>Inngående</t>
  </si>
  <si>
    <t>Rapporten er bygget på kontoplan definert i portalen.</t>
  </si>
  <si>
    <t>Aksjer SNR Eiendom AS UE</t>
  </si>
  <si>
    <t>Nedkriving aksjer i FKH AS</t>
  </si>
  <si>
    <t>Kundefordringer konsern</t>
  </si>
  <si>
    <t>Reisekostnad, ikke oppg.pliktig</t>
  </si>
  <si>
    <t>Saldobalanse</t>
  </si>
  <si>
    <t>Kalk. avskrivinger</t>
  </si>
  <si>
    <t>Nedkriving aksjer i Livepro Stage</t>
  </si>
  <si>
    <t>Mellomværende Stillasgruppen Utleie AS</t>
  </si>
  <si>
    <t>Mellomv. Stillasgruppen Drift AS</t>
  </si>
  <si>
    <t>Aksjekapital</t>
  </si>
  <si>
    <t>Motkonto for gruppe 52</t>
  </si>
  <si>
    <t>Honorar rådgivende revisjon</t>
  </si>
  <si>
    <t>Gaver, ikke fradragsberettiget</t>
  </si>
  <si>
    <t>Administrasjonstilskudd</t>
  </si>
  <si>
    <t>Kontorrekvisita</t>
  </si>
  <si>
    <t>Data /  Edb Kostnader</t>
  </si>
  <si>
    <t>Vedlikehold</t>
  </si>
  <si>
    <t>Forsikringspremie</t>
  </si>
  <si>
    <t>Forsikring personell</t>
  </si>
  <si>
    <t>Aksjer Haugaland Talentforvaltning</t>
  </si>
  <si>
    <t>Kundefordringer</t>
  </si>
  <si>
    <t>Mellomv. Stillasgruppen Property AS</t>
  </si>
  <si>
    <t>Mellomv. Stillastjenester</t>
  </si>
  <si>
    <t>Gaver, fradragsberettiget</t>
  </si>
  <si>
    <t>Annen kostnad</t>
  </si>
  <si>
    <t>Egne datasystemer</t>
  </si>
  <si>
    <t>Aksjer i Stillasgruppen Property AS</t>
  </si>
  <si>
    <t>Nedskrivning Live Pro AS</t>
  </si>
  <si>
    <t>Nedskrivning Haugaland Talentutvikling AS</t>
  </si>
  <si>
    <t>Annen egenkapital</t>
  </si>
  <si>
    <t>Opplysnings- og utviklingsfond</t>
  </si>
  <si>
    <t>Skyldig utbytte</t>
  </si>
  <si>
    <t>Refusjoner av sykepenger</t>
  </si>
  <si>
    <t>Utgående</t>
  </si>
  <si>
    <t>Andre fordringer</t>
  </si>
  <si>
    <t>Lån fra Stillasgruppen Property AS</t>
  </si>
  <si>
    <t>Inngående MVA middels sats</t>
  </si>
  <si>
    <t>Påløpne feriepenger</t>
  </si>
  <si>
    <t>Avskr. maskiner, inventar mv.</t>
  </si>
  <si>
    <t>Annen fremmed tjeneste</t>
  </si>
  <si>
    <t>Annen kontorkostnad</t>
  </si>
  <si>
    <t>Sum balanse</t>
  </si>
  <si>
    <t>Fast teknisk installasjon i bygninger</t>
  </si>
  <si>
    <t>Forskuddsbet.. forsikring</t>
  </si>
  <si>
    <t>Leverandørgjeld</t>
  </si>
  <si>
    <t>Annen kortsiktig gjeld</t>
  </si>
  <si>
    <t>Kantinekostnad</t>
  </si>
  <si>
    <t>Telefon</t>
  </si>
  <si>
    <t>Lisensavgift og royalties</t>
  </si>
  <si>
    <t>Aksjer Kløver Invest AS</t>
  </si>
  <si>
    <t>Visjon/verdi filmer</t>
  </si>
  <si>
    <t>Lån Haugaland Talentforvaltning</t>
  </si>
  <si>
    <t>Andre forskuddsbet. kostn.</t>
  </si>
  <si>
    <t>Skattetrekkskonto</t>
  </si>
  <si>
    <t>Feriepenger</t>
  </si>
  <si>
    <t>Lønn til ansatte</t>
  </si>
  <si>
    <t>Renhold</t>
  </si>
  <si>
    <t>Mellomv. SG Habitat AS</t>
  </si>
  <si>
    <t>Mellomv. Stillasgruppen Holding AS (nov 2017)</t>
  </si>
  <si>
    <t>Bank 8530 14 06768</t>
  </si>
  <si>
    <t>Fagforeningstrekk</t>
  </si>
  <si>
    <t>Velferdskasse</t>
  </si>
  <si>
    <t>Kantinetrekk</t>
  </si>
  <si>
    <t>Arb.giv.avg påløpte feriepenger</t>
  </si>
  <si>
    <t>Data / Edb Kostnader Support</t>
  </si>
  <si>
    <t>balanse</t>
  </si>
  <si>
    <t>Periode: [@Regnskapsperioder]</t>
  </si>
  <si>
    <t>Utsatt skattefordel</t>
  </si>
  <si>
    <t>Fordring konsernbidrag utbytte</t>
  </si>
  <si>
    <t>Skyldig arbeidsgiveravgift</t>
  </si>
  <si>
    <t>Avsatt lønn desember</t>
  </si>
  <si>
    <t>Annen personalkostnad</t>
  </si>
  <si>
    <t>Leie lokaler</t>
  </si>
  <si>
    <t>Arbeidsklær og verneutstyr</t>
  </si>
  <si>
    <t>Annen rentekostnad</t>
  </si>
  <si>
    <t>Sum</t>
  </si>
  <si>
    <t>Stillasgruppen AS</t>
  </si>
  <si>
    <t>Nedskriving aksjer i Likemuligheter AS</t>
  </si>
  <si>
    <t>Forskudd lønn</t>
  </si>
  <si>
    <t>Betalbar skatt, ikke utlignet</t>
  </si>
  <si>
    <t>Inngående MVA høy sats</t>
  </si>
  <si>
    <t>Skyldig lønn</t>
  </si>
  <si>
    <t>Pensjonsforsikring ansatte (OTP)</t>
  </si>
  <si>
    <t>Annen personalkostnad ikke fradragsber</t>
  </si>
  <si>
    <t>Lys, varme</t>
  </si>
  <si>
    <t>Møte, kurs, oppdatering o.l.</t>
  </si>
  <si>
    <t>Reklamekostnad</t>
  </si>
</sst>
</file>

<file path=xl/styles.xml><?xml version="1.0" encoding="utf-8"?>
<styleSheet xmlns="http://schemas.openxmlformats.org/spreadsheetml/2006/main">
  <numFmts count="2">
    <numFmt numFmtId="164" formatCode="0.0\ %"/>
    <numFmt numFmtId="165" formatCode="#,##0_ ;[Red]\-#,##0\ 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1"/>
      <color theme="0"/>
      <name val="Roboto"/>
      <family val="2"/>
    </font>
    <font>
      <b/>
      <sz val="14"/>
      <name val="Open Sans"/>
      <family val="2"/>
    </font>
    <font>
      <sz val="12"/>
      <name val="Open Sans"/>
      <family val="2"/>
    </font>
    <font>
      <sz val="11"/>
      <color rgb="FF37485A"/>
      <name val="Roboto"/>
      <family val="2"/>
    </font>
    <font>
      <sz val="11"/>
      <name val="Open Sans"/>
      <family val="2"/>
    </font>
    <font>
      <sz val="14"/>
      <color theme="1"/>
      <name val="Roboto"/>
      <family val="2"/>
    </font>
    <font>
      <b/>
      <sz val="14"/>
      <color rgb="FF37485A"/>
      <name val="Roboto"/>
      <family val="2"/>
    </font>
    <font>
      <sz val="11"/>
      <color theme="1"/>
      <name val="Roboto"/>
      <family val="2"/>
    </font>
    <font>
      <i/>
      <sz val="12"/>
      <name val="Open Sans"/>
      <family val="2"/>
    </font>
    <font>
      <sz val="11"/>
      <color theme="1"/>
      <name val="Open Sans"/>
      <family val="2"/>
    </font>
    <font>
      <sz val="14"/>
      <color rgb="FF007ACA"/>
      <name val="Open Sans"/>
      <family val="2"/>
    </font>
    <font>
      <sz val="18"/>
      <color rgb="FF007ACA"/>
      <name val="Calibri"/>
      <family val="2"/>
    </font>
    <font>
      <b/>
      <sz val="11"/>
      <color rgb="FF37485A"/>
      <name val="Roboto"/>
      <family val="2"/>
    </font>
    <font>
      <sz val="11"/>
      <color rgb="FF6A6C6D"/>
      <name val="Open Sans"/>
      <family val="2"/>
    </font>
    <font>
      <sz val="14"/>
      <color theme="0" tint="-0.4999600052833557"/>
      <name val="Open Sans"/>
      <family val="2"/>
    </font>
    <font>
      <sz val="12"/>
      <color rgb="FF6A6C6D"/>
      <name val="Open Sans"/>
      <family val="2"/>
    </font>
    <font>
      <sz val="16"/>
      <name val="Open Sans"/>
      <family val="2"/>
    </font>
    <font>
      <sz val="14"/>
      <color rgb="FF37485A"/>
      <name val="Roboto"/>
      <family val="2"/>
    </font>
    <font>
      <i/>
      <sz val="11"/>
      <name val="Open Sans"/>
      <family val="2"/>
    </font>
    <font>
      <b/>
      <sz val="26"/>
      <name val="Open Sans"/>
      <family val="2"/>
    </font>
    <font>
      <i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FA7D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ACA"/>
        <bgColor indexed="64"/>
      </patternFill>
    </fill>
    <fill>
      <patternFill patternType="solid">
        <fgColor rgb="FFFAFBF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theme="0" tint="-0.4999600052833557"/>
      </bottom>
    </border>
    <border>
      <left/>
      <right/>
      <top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0" fillId="2" borderId="0" applyNumberFormat="0" applyBorder="0" applyAlignment="0" applyProtection="0"/>
    <xf numFmtId="0" fontId="3" fillId="0" borderId="0">
      <alignment/>
      <protection/>
    </xf>
  </cellStyleXfs>
  <cellXfs count="44">
    <xf numFmtId="0" fontId="0" fillId="0" borderId="0" xfId="0"/>
    <xf numFmtId="38" fontId="4" fillId="0" borderId="0" xfId="0" applyNumberFormat="1" applyFont="1" applyAlignment="1">
      <alignment horizontal="center"/>
    </xf>
    <xf numFmtId="165" fontId="5" fillId="3" borderId="1" xfId="0" applyNumberFormat="1" applyFont="1" applyFill="1" applyBorder="1" applyAlignment="1">
      <alignment horizontal="right" vertical="center"/>
    </xf>
    <xf numFmtId="165" fontId="6" fillId="3" borderId="0" xfId="0" applyNumberFormat="1" applyFont="1" applyFill="1" applyAlignment="1">
      <alignment horizontal="right"/>
    </xf>
    <xf numFmtId="0" fontId="7" fillId="0" borderId="0" xfId="0" applyFont="1"/>
    <xf numFmtId="0" fontId="8" fillId="0" borderId="0" xfId="0" applyFont="1"/>
    <xf numFmtId="165" fontId="9" fillId="0" borderId="0" xfId="0" applyNumberFormat="1" applyFont="1"/>
    <xf numFmtId="165" fontId="10" fillId="0" borderId="0" xfId="0" applyNumberFormat="1" applyFont="1" applyAlignment="1">
      <alignment horizontal="right"/>
    </xf>
    <xf numFmtId="38" fontId="11" fillId="4" borderId="0" xfId="0" applyNumberFormat="1" applyFont="1" applyFill="1"/>
    <xf numFmtId="0" fontId="4" fillId="0" borderId="0" xfId="0" applyFont="1" applyAlignment="1">
      <alignment horizontal="center"/>
    </xf>
    <xf numFmtId="165" fontId="12" fillId="5" borderId="0" xfId="0" applyNumberFormat="1" applyFont="1" applyFill="1" applyAlignment="1">
      <alignment horizontal="right" vertical="center"/>
    </xf>
    <xf numFmtId="0" fontId="13" fillId="0" borderId="0" xfId="0" applyFont="1"/>
    <xf numFmtId="0" fontId="14" fillId="0" borderId="2" xfId="0" applyFont="1" applyBorder="1" applyAlignment="1">
      <alignment horizontal="right"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right"/>
    </xf>
    <xf numFmtId="165" fontId="16" fillId="0" borderId="0" xfId="0" applyNumberFormat="1" applyFont="1"/>
    <xf numFmtId="0" fontId="4" fillId="0" borderId="0" xfId="0" applyFont="1"/>
    <xf numFmtId="0" fontId="17" fillId="0" borderId="0" xfId="0" applyFont="1"/>
    <xf numFmtId="0" fontId="5" fillId="3" borderId="1" xfId="0" applyFont="1" applyFill="1" applyBorder="1" applyAlignment="1">
      <alignment vertical="center"/>
    </xf>
    <xf numFmtId="0" fontId="11" fillId="0" borderId="0" xfId="0" applyFont="1"/>
    <xf numFmtId="0" fontId="3" fillId="0" borderId="0" xfId="22">
      <alignment/>
      <protection/>
    </xf>
    <xf numFmtId="0" fontId="9" fillId="0" borderId="0" xfId="0" applyFont="1"/>
    <xf numFmtId="0" fontId="14" fillId="0" borderId="0" xfId="0" applyFont="1" applyAlignment="1">
      <alignment horizontal="right" vertical="top"/>
    </xf>
    <xf numFmtId="165" fontId="6" fillId="5" borderId="0" xfId="0" applyNumberFormat="1" applyFont="1" applyFill="1" applyAlignment="1">
      <alignment horizontal="right" vertical="center"/>
    </xf>
    <xf numFmtId="14" fontId="18" fillId="0" borderId="2" xfId="0" applyNumberFormat="1" applyFont="1" applyBorder="1" applyAlignment="1">
      <alignment horizontal="left" vertical="top"/>
    </xf>
    <xf numFmtId="0" fontId="6" fillId="0" borderId="0" xfId="0" applyFont="1"/>
    <xf numFmtId="0" fontId="16" fillId="0" borderId="0" xfId="0" applyFont="1"/>
    <xf numFmtId="14" fontId="18" fillId="0" borderId="0" xfId="0" applyNumberFormat="1" applyFont="1" applyAlignment="1">
      <alignment horizontal="left" vertical="top"/>
    </xf>
    <xf numFmtId="165" fontId="5" fillId="5" borderId="1" xfId="0" applyNumberFormat="1" applyFont="1" applyFill="1" applyBorder="1" applyAlignment="1">
      <alignment horizontal="right" vertical="center"/>
    </xf>
    <xf numFmtId="165" fontId="6" fillId="3" borderId="0" xfId="0" applyNumberFormat="1" applyFont="1" applyFill="1" applyAlignment="1">
      <alignment horizontal="left"/>
    </xf>
    <xf numFmtId="0" fontId="11" fillId="4" borderId="0" xfId="0" applyFont="1" applyFill="1"/>
    <xf numFmtId="0" fontId="19" fillId="0" borderId="0" xfId="0" applyFont="1" applyAlignment="1">
      <alignment horizontal="left" vertical="center"/>
    </xf>
    <xf numFmtId="164" fontId="20" fillId="0" borderId="0" xfId="0" applyNumberFormat="1" applyFont="1" applyAlignment="1">
      <alignment horizontal="left" vertical="center"/>
    </xf>
    <xf numFmtId="0" fontId="6" fillId="3" borderId="0" xfId="0" applyFont="1" applyFill="1" applyAlignment="1">
      <alignment horizontal="left"/>
    </xf>
    <xf numFmtId="3" fontId="21" fillId="0" borderId="0" xfId="0" applyNumberFormat="1" applyFont="1" applyAlignment="1">
      <alignment horizontal="left"/>
    </xf>
    <xf numFmtId="165" fontId="12" fillId="5" borderId="0" xfId="0" applyNumberFormat="1" applyFont="1" applyFill="1"/>
    <xf numFmtId="0" fontId="14" fillId="0" borderId="0" xfId="0" applyFont="1" applyAlignment="1">
      <alignment vertical="top"/>
    </xf>
    <xf numFmtId="164" fontId="22" fillId="5" borderId="0" xfId="15" applyNumberFormat="1" applyFont="1" applyFill="1" applyBorder="1"/>
    <xf numFmtId="14" fontId="17" fillId="0" borderId="0" xfId="0" applyNumberFormat="1" applyFont="1"/>
    <xf numFmtId="0" fontId="10" fillId="0" borderId="0" xfId="20" applyFont="1" applyFill="1"/>
    <xf numFmtId="0" fontId="14" fillId="0" borderId="2" xfId="0" applyFont="1" applyBorder="1" applyAlignment="1">
      <alignment horizontal="center" vertical="top"/>
    </xf>
    <xf numFmtId="0" fontId="23" fillId="0" borderId="0" xfId="0" applyFont="1"/>
    <xf numFmtId="0" fontId="24" fillId="0" borderId="0" xfId="0" applyFont="1"/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% - Accent3" xfId="20"/>
    <cellStyle name="60% - Accent3 2" xfId="21"/>
    <cellStyle name="Normal_2. Resultatrapport" xfId="22"/>
  </cellStyles>
  <dxfs count="1">
    <dxf>
      <font>
        <color rgb="FFE7064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147</xdr:row>
      <xdr:rowOff>47625</xdr:rowOff>
    </xdr:from>
    <xdr:to>
      <xdr:col>1</xdr:col>
      <xdr:colOff>581025</xdr:colOff>
      <xdr:row>148</xdr:row>
      <xdr:rowOff>171450</xdr:rowOff>
    </xdr:to>
    <xdr:pic>
      <xdr:nvPicPr>
        <xdr:cNvPr id="2" name="Picture 1" descr="OneStop Reporting - Visma Communit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924175"/>
          <a:ext cx="323850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9"/>
  <sheetViews>
    <sheetView showGridLines="0" tabSelected="1" zoomScale="85" zoomScaleNormal="85" workbookViewId="0" topLeftCell="A1">
      <pane xSplit="5" ySplit="6" topLeftCell="F7" activePane="bottomRight" state="frozen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5" outlineLevelRow="1" outlineLevelCol="1"/>
  <cols>
    <col min="1" max="1" width="3.7109375" style="0" customWidth="1"/>
    <col min="3" max="3" width="40.7109375" style="0" customWidth="1"/>
    <col min="4" max="4" width="20.7109375" style="0" customWidth="1"/>
    <col min="5" max="16" width="20.7109375" style="0" hidden="1" customWidth="1" outlineLevel="1"/>
    <col min="17" max="17" width="20.7109375" style="0" customWidth="1" collapsed="1"/>
    <col min="18" max="18" width="20.7109375" style="0" customWidth="1"/>
  </cols>
  <sheetData>
    <row r="1" spans="1:19" s="19" customFormat="1" ht="14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2" s="4" customFormat="1" ht="24.65">
      <c r="A2" s="17"/>
      <c r="B2" s="43" t="s">
        <v>131</v>
      </c>
      <c r="C2" s="17"/>
      <c r="D2" s="3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31"/>
      <c r="R2" s="17"/>
      <c r="S2" s="17"/>
      <c r="U2" s="26"/>
      <c r="V2" s="26"/>
    </row>
    <row r="3" spans="1:25" s="4" customFormat="1" ht="33.8">
      <c r="A3" s="5"/>
      <c r="B3" s="41" t="s">
        <v>59</v>
      </c>
      <c r="C3" s="5"/>
      <c r="D3" s="3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2"/>
      <c r="R3" s="5"/>
      <c r="S3" s="5"/>
      <c r="T3" s="20"/>
      <c r="U3" s="20"/>
      <c r="V3" s="20"/>
      <c r="W3" s="20"/>
      <c r="X3"/>
      <c r="Y3"/>
    </row>
    <row r="4" spans="1:19" s="19" customFormat="1" ht="18.2">
      <c r="A4" s="36"/>
      <c r="B4" s="27"/>
      <c r="C4" s="27"/>
      <c r="D4" s="22" t="s">
        <v>53</v>
      </c>
      <c r="E4" s="13" t="s">
        <v>37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22" t="s">
        <v>88</v>
      </c>
      <c r="S4" s="22"/>
    </row>
    <row r="5" spans="1:19" s="19" customFormat="1" ht="18.2">
      <c r="A5" s="36"/>
      <c r="B5" s="24" t="str">
        <f>"Periode: "&amp;"202201"</f>
        <v>Periode: 202201</v>
      </c>
      <c r="C5" s="24"/>
      <c r="D5" s="12" t="s">
        <v>120</v>
      </c>
      <c r="E5" s="12">
        <v>202201</v>
      </c>
      <c r="F5" s="12">
        <v>202202</v>
      </c>
      <c r="G5" s="12">
        <v>202203</v>
      </c>
      <c r="H5" s="12">
        <v>202204</v>
      </c>
      <c r="I5" s="12">
        <v>202205</v>
      </c>
      <c r="J5" s="12">
        <v>202206</v>
      </c>
      <c r="K5" s="12">
        <v>202207</v>
      </c>
      <c r="L5" s="12">
        <v>202208</v>
      </c>
      <c r="M5" s="12">
        <v>202209</v>
      </c>
      <c r="N5" s="12">
        <v>202210</v>
      </c>
      <c r="O5" s="12">
        <v>202211</v>
      </c>
      <c r="P5" s="12">
        <v>202212</v>
      </c>
      <c r="Q5" s="40" t="s">
        <v>42</v>
      </c>
      <c r="R5" s="12" t="s">
        <v>120</v>
      </c>
      <c r="S5" s="22"/>
    </row>
    <row r="6" spans="2:18" s="19" customFormat="1" ht="8.1" customHeight="1">
      <c r="B6" s="16"/>
      <c r="C6" s="16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15" customFormat="1" ht="18" hidden="1" outlineLevel="1">
      <c r="A7" s="25"/>
      <c r="B7" s="33">
        <v>1070</v>
      </c>
      <c r="C7" s="29" t="s">
        <v>122</v>
      </c>
      <c r="D7" s="3">
        <f>_xlfn.IFERROR(44690,0)</f>
        <v>44690</v>
      </c>
      <c r="E7" s="3">
        <f aca="true" t="shared" si="0" ref="E7:O12">_xlfn.IFERROR(0,0)</f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aca="true" t="shared" si="1" ref="P7:P10">_xlfn.IFERROR(0,0)</f>
        <v>0</v>
      </c>
      <c r="Q7" s="3">
        <f aca="true" t="shared" si="2" ref="Q7:Q86">_xlfn.IFERROR(SUM(E7:P7),0)</f>
        <v>0</v>
      </c>
      <c r="R7" s="23">
        <f aca="true" t="shared" si="3" ref="R7:R86">D7+Q7</f>
        <v>44690</v>
      </c>
    </row>
    <row r="8" spans="1:18" s="15" customFormat="1" ht="18" hidden="1" outlineLevel="1">
      <c r="A8" s="25"/>
      <c r="B8" s="33">
        <v>1120</v>
      </c>
      <c r="C8" s="29" t="s">
        <v>97</v>
      </c>
      <c r="D8" s="3">
        <f>_xlfn.IFERROR(0,0)</f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  <c r="K8" s="3">
        <f t="shared" si="0"/>
        <v>0</v>
      </c>
      <c r="L8" s="3">
        <f t="shared" si="0"/>
        <v>0</v>
      </c>
      <c r="M8" s="3">
        <f t="shared" si="0"/>
        <v>0</v>
      </c>
      <c r="N8" s="3">
        <f t="shared" si="0"/>
        <v>0</v>
      </c>
      <c r="O8" s="3">
        <f t="shared" si="0"/>
        <v>0</v>
      </c>
      <c r="P8" s="3">
        <f t="shared" si="1"/>
        <v>0</v>
      </c>
      <c r="Q8" s="3">
        <f t="shared" si="2"/>
        <v>0</v>
      </c>
      <c r="R8" s="23">
        <f t="shared" si="3"/>
        <v>0</v>
      </c>
    </row>
    <row r="9" spans="1:18" s="15" customFormat="1" ht="18" hidden="1" outlineLevel="1">
      <c r="A9" s="25"/>
      <c r="B9" s="33">
        <v>1125</v>
      </c>
      <c r="C9" s="29" t="s">
        <v>104</v>
      </c>
      <c r="D9" s="3">
        <f>_xlfn.IFERROR(1009867,0)</f>
        <v>1009867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  <c r="I9" s="3">
        <f t="shared" si="0"/>
        <v>0</v>
      </c>
      <c r="J9" s="3">
        <f t="shared" si="0"/>
        <v>0</v>
      </c>
      <c r="K9" s="3">
        <f t="shared" si="0"/>
        <v>0</v>
      </c>
      <c r="L9" s="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2"/>
        <v>0</v>
      </c>
      <c r="R9" s="23">
        <f t="shared" si="3"/>
        <v>1009867</v>
      </c>
    </row>
    <row r="10" spans="1:18" s="15" customFormat="1" ht="18" hidden="1" outlineLevel="1">
      <c r="A10" s="25"/>
      <c r="B10" s="33">
        <v>1250</v>
      </c>
      <c r="C10" s="29" t="s">
        <v>43</v>
      </c>
      <c r="D10" s="3">
        <f>_xlfn.IFERROR(177175.14,0)</f>
        <v>177175.14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3">
        <f t="shared" si="1"/>
        <v>0</v>
      </c>
      <c r="Q10" s="3">
        <f t="shared" si="2"/>
        <v>0</v>
      </c>
      <c r="R10" s="23">
        <f t="shared" si="3"/>
        <v>177175.14</v>
      </c>
    </row>
    <row r="11" spans="1:18" s="15" customFormat="1" ht="18" hidden="1" outlineLevel="1">
      <c r="A11" s="25"/>
      <c r="B11" s="33">
        <v>1280</v>
      </c>
      <c r="C11" s="29" t="s">
        <v>9</v>
      </c>
      <c r="D11" s="3">
        <f>_xlfn.IFERROR(60893.18,0)</f>
        <v>60893.18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>_xlfn.IFERROR(43198,0)</f>
        <v>43198</v>
      </c>
      <c r="Q11" s="3">
        <f t="shared" si="2"/>
        <v>43198</v>
      </c>
      <c r="R11" s="23">
        <f t="shared" si="3"/>
        <v>104091.18</v>
      </c>
    </row>
    <row r="12" spans="1:18" s="15" customFormat="1" ht="18" hidden="1" outlineLevel="1">
      <c r="A12" s="25"/>
      <c r="B12" s="33">
        <v>1284</v>
      </c>
      <c r="C12" s="29" t="s">
        <v>1</v>
      </c>
      <c r="D12" s="3">
        <f>_xlfn.IFERROR(73400,0)</f>
        <v>73400</v>
      </c>
      <c r="E12" s="3">
        <f t="shared" si="0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3">
        <f t="shared" si="0"/>
        <v>0</v>
      </c>
      <c r="M12" s="3">
        <f t="shared" si="0"/>
        <v>0</v>
      </c>
      <c r="N12" s="3">
        <f t="shared" si="0"/>
        <v>0</v>
      </c>
      <c r="O12" s="3">
        <f t="shared" si="0"/>
        <v>0</v>
      </c>
      <c r="P12" s="3">
        <f>_xlfn.IFERROR(0,0)</f>
        <v>0</v>
      </c>
      <c r="Q12" s="3">
        <f t="shared" si="2"/>
        <v>0</v>
      </c>
      <c r="R12" s="23">
        <f t="shared" si="3"/>
        <v>73400</v>
      </c>
    </row>
    <row r="13" spans="1:18" s="15" customFormat="1" ht="18" hidden="1" outlineLevel="1">
      <c r="A13" s="25"/>
      <c r="B13" s="33">
        <v>1285</v>
      </c>
      <c r="C13" s="29" t="s">
        <v>80</v>
      </c>
      <c r="D13" s="3">
        <f>_xlfn.IFERROR(1026544.85,0)</f>
        <v>1026544.85</v>
      </c>
      <c r="E13" s="3">
        <f>_xlfn.IFERROR(6600,0)</f>
        <v>6600</v>
      </c>
      <c r="F13" s="3">
        <f aca="true" t="shared" si="4" ref="F13:F14">_xlfn.IFERROR(0,0)</f>
        <v>0</v>
      </c>
      <c r="G13" s="3">
        <f>_xlfn.IFERROR(16225,0)</f>
        <v>16225</v>
      </c>
      <c r="H13" s="3">
        <f aca="true" t="shared" si="5" ref="H13:I13">_xlfn.IFERROR(1100,0)</f>
        <v>1100</v>
      </c>
      <c r="I13" s="3">
        <f t="shared" si="5"/>
        <v>1100</v>
      </c>
      <c r="J13" s="3">
        <f aca="true" t="shared" si="6" ref="J13:K14">_xlfn.IFERROR(0,0)</f>
        <v>0</v>
      </c>
      <c r="K13" s="3">
        <f t="shared" si="6"/>
        <v>0</v>
      </c>
      <c r="L13" s="3">
        <f>_xlfn.IFERROR(5225.01,0)</f>
        <v>5225.01</v>
      </c>
      <c r="M13" s="3">
        <f>_xlfn.IFERROR(6612.5,0)</f>
        <v>6612.5</v>
      </c>
      <c r="N13" s="3">
        <f>_xlfn.IFERROR(4125,0)</f>
        <v>4125</v>
      </c>
      <c r="O13" s="3">
        <f>_xlfn.IFERROR(21714.5,0)</f>
        <v>21714.5</v>
      </c>
      <c r="P13" s="3">
        <f>_xlfn.IFERROR(3388,0)</f>
        <v>3388</v>
      </c>
      <c r="Q13" s="3">
        <f t="shared" si="2"/>
        <v>66090.01000000001</v>
      </c>
      <c r="R13" s="23">
        <f t="shared" si="3"/>
        <v>1092634.8599999999</v>
      </c>
    </row>
    <row r="14" spans="1:18" s="15" customFormat="1" ht="18" hidden="1" outlineLevel="1">
      <c r="A14" s="25"/>
      <c r="B14" s="33">
        <v>1286</v>
      </c>
      <c r="C14" s="29" t="s">
        <v>105</v>
      </c>
      <c r="D14" s="3">
        <f aca="true" t="shared" si="7" ref="D14:D15">_xlfn.IFERROR(0,0)</f>
        <v>0</v>
      </c>
      <c r="E14" s="3">
        <f>_xlfn.IFERROR(0,0)</f>
        <v>0</v>
      </c>
      <c r="F14" s="3">
        <f t="shared" si="4"/>
        <v>0</v>
      </c>
      <c r="G14" s="3">
        <f aca="true" t="shared" si="8" ref="G14:I14">_xlfn.IFERROR(0,0)</f>
        <v>0</v>
      </c>
      <c r="H14" s="3">
        <f t="shared" si="8"/>
        <v>0</v>
      </c>
      <c r="I14" s="3">
        <f t="shared" si="8"/>
        <v>0</v>
      </c>
      <c r="J14" s="3">
        <f t="shared" si="6"/>
        <v>0</v>
      </c>
      <c r="K14" s="3">
        <f t="shared" si="6"/>
        <v>0</v>
      </c>
      <c r="L14" s="3">
        <f aca="true" t="shared" si="9" ref="L14:P14">_xlfn.IFERROR(0,0)</f>
        <v>0</v>
      </c>
      <c r="M14" s="3">
        <f t="shared" si="9"/>
        <v>0</v>
      </c>
      <c r="N14" s="3">
        <f t="shared" si="9"/>
        <v>0</v>
      </c>
      <c r="O14" s="3">
        <f t="shared" si="9"/>
        <v>0</v>
      </c>
      <c r="P14" s="3">
        <f t="shared" si="9"/>
        <v>0</v>
      </c>
      <c r="Q14" s="3">
        <f t="shared" si="2"/>
        <v>0</v>
      </c>
      <c r="R14" s="23">
        <f t="shared" si="3"/>
        <v>0</v>
      </c>
    </row>
    <row r="15" spans="1:18" s="15" customFormat="1" ht="18" hidden="1" outlineLevel="1">
      <c r="A15" s="25"/>
      <c r="B15" s="33">
        <v>1291</v>
      </c>
      <c r="C15" s="29" t="s">
        <v>60</v>
      </c>
      <c r="D15" s="3">
        <f t="shared" si="7"/>
        <v>0</v>
      </c>
      <c r="E15" s="3">
        <f aca="true" t="shared" si="10" ref="E15:H15">_xlfn.IFERROR(-59358,0)</f>
        <v>-59358</v>
      </c>
      <c r="F15" s="3">
        <f t="shared" si="10"/>
        <v>-59358</v>
      </c>
      <c r="G15" s="3">
        <f t="shared" si="10"/>
        <v>-59358</v>
      </c>
      <c r="H15" s="3">
        <f t="shared" si="10"/>
        <v>-59358</v>
      </c>
      <c r="I15" s="3">
        <f>_xlfn.IFERROR(-166038,0)</f>
        <v>-166038</v>
      </c>
      <c r="J15" s="3">
        <f aca="true" t="shared" si="11" ref="J15:P15">_xlfn.IFERROR(-80690,0)</f>
        <v>-80690</v>
      </c>
      <c r="K15" s="3">
        <f t="shared" si="11"/>
        <v>-80690</v>
      </c>
      <c r="L15" s="3">
        <f t="shared" si="11"/>
        <v>-80690</v>
      </c>
      <c r="M15" s="3">
        <f t="shared" si="11"/>
        <v>-80690</v>
      </c>
      <c r="N15" s="3">
        <f t="shared" si="11"/>
        <v>-80690</v>
      </c>
      <c r="O15" s="3">
        <f t="shared" si="11"/>
        <v>-80690</v>
      </c>
      <c r="P15" s="3">
        <f t="shared" si="11"/>
        <v>-80690</v>
      </c>
      <c r="Q15" s="3">
        <f t="shared" si="2"/>
        <v>-968300</v>
      </c>
      <c r="R15" s="23">
        <f t="shared" si="3"/>
        <v>-968300</v>
      </c>
    </row>
    <row r="16" spans="1:18" s="15" customFormat="1" ht="18" hidden="1" outlineLevel="1">
      <c r="A16" s="25"/>
      <c r="B16" s="33">
        <v>1307</v>
      </c>
      <c r="C16" s="29" t="s">
        <v>24</v>
      </c>
      <c r="D16" s="3">
        <f>_xlfn.IFERROR(2879659.74,0)</f>
        <v>2879659.74</v>
      </c>
      <c r="E16" s="3">
        <f aca="true" t="shared" si="12" ref="E16:P27">_xlfn.IFERROR(0,0)</f>
        <v>0</v>
      </c>
      <c r="F16" s="3">
        <f t="shared" si="12"/>
        <v>0</v>
      </c>
      <c r="G16" s="3">
        <f t="shared" si="12"/>
        <v>0</v>
      </c>
      <c r="H16" s="3">
        <f t="shared" si="12"/>
        <v>0</v>
      </c>
      <c r="I16" s="3">
        <f t="shared" si="12"/>
        <v>0</v>
      </c>
      <c r="J16" s="3">
        <f t="shared" si="12"/>
        <v>0</v>
      </c>
      <c r="K16" s="3">
        <f t="shared" si="12"/>
        <v>0</v>
      </c>
      <c r="L16" s="3">
        <f t="shared" si="12"/>
        <v>0</v>
      </c>
      <c r="M16" s="3">
        <f t="shared" si="12"/>
        <v>0</v>
      </c>
      <c r="N16" s="3">
        <f t="shared" si="12"/>
        <v>0</v>
      </c>
      <c r="O16" s="3">
        <f t="shared" si="12"/>
        <v>0</v>
      </c>
      <c r="P16" s="3">
        <f t="shared" si="12"/>
        <v>0</v>
      </c>
      <c r="Q16" s="3">
        <f t="shared" si="2"/>
        <v>0</v>
      </c>
      <c r="R16" s="23">
        <f t="shared" si="3"/>
        <v>2879659.74</v>
      </c>
    </row>
    <row r="17" spans="1:18" s="15" customFormat="1" ht="18" hidden="1" outlineLevel="1">
      <c r="A17" s="25"/>
      <c r="B17" s="33">
        <v>1308</v>
      </c>
      <c r="C17" s="29" t="s">
        <v>81</v>
      </c>
      <c r="D17" s="3">
        <f>_xlfn.IFERROR(4294023.5,0)</f>
        <v>4294023.5</v>
      </c>
      <c r="E17" s="3">
        <f t="shared" si="12"/>
        <v>0</v>
      </c>
      <c r="F17" s="3">
        <f t="shared" si="12"/>
        <v>0</v>
      </c>
      <c r="G17" s="3">
        <f t="shared" si="12"/>
        <v>0</v>
      </c>
      <c r="H17" s="3">
        <f t="shared" si="12"/>
        <v>0</v>
      </c>
      <c r="I17" s="3">
        <f t="shared" si="12"/>
        <v>0</v>
      </c>
      <c r="J17" s="3">
        <f t="shared" si="12"/>
        <v>0</v>
      </c>
      <c r="K17" s="3">
        <f t="shared" si="12"/>
        <v>0</v>
      </c>
      <c r="L17" s="3">
        <f t="shared" si="12"/>
        <v>0</v>
      </c>
      <c r="M17" s="3">
        <f t="shared" si="12"/>
        <v>0</v>
      </c>
      <c r="N17" s="3">
        <f t="shared" si="12"/>
        <v>0</v>
      </c>
      <c r="O17" s="3">
        <f t="shared" si="12"/>
        <v>0</v>
      </c>
      <c r="P17" s="3">
        <f t="shared" si="12"/>
        <v>0</v>
      </c>
      <c r="Q17" s="3">
        <f t="shared" si="2"/>
        <v>0</v>
      </c>
      <c r="R17" s="23">
        <f t="shared" si="3"/>
        <v>4294023.5</v>
      </c>
    </row>
    <row r="18" spans="1:18" s="15" customFormat="1" ht="18" hidden="1" outlineLevel="1">
      <c r="A18" s="25"/>
      <c r="B18" s="33">
        <v>1325</v>
      </c>
      <c r="C18" s="29" t="s">
        <v>55</v>
      </c>
      <c r="D18" s="3">
        <f>_xlfn.IFERROR(295000,0)</f>
        <v>295000</v>
      </c>
      <c r="E18" s="3">
        <f t="shared" si="12"/>
        <v>0</v>
      </c>
      <c r="F18" s="3">
        <f t="shared" si="12"/>
        <v>0</v>
      </c>
      <c r="G18" s="3">
        <f t="shared" si="12"/>
        <v>0</v>
      </c>
      <c r="H18" s="3">
        <f t="shared" si="12"/>
        <v>0</v>
      </c>
      <c r="I18" s="3">
        <f t="shared" si="12"/>
        <v>0</v>
      </c>
      <c r="J18" s="3">
        <f t="shared" si="12"/>
        <v>0</v>
      </c>
      <c r="K18" s="3">
        <f t="shared" si="12"/>
        <v>0</v>
      </c>
      <c r="L18" s="3">
        <f t="shared" si="12"/>
        <v>0</v>
      </c>
      <c r="M18" s="3">
        <f t="shared" si="12"/>
        <v>0</v>
      </c>
      <c r="N18" s="3">
        <f t="shared" si="12"/>
        <v>0</v>
      </c>
      <c r="O18" s="3">
        <f t="shared" si="12"/>
        <v>0</v>
      </c>
      <c r="P18" s="3">
        <f t="shared" si="12"/>
        <v>0</v>
      </c>
      <c r="Q18" s="3">
        <f t="shared" si="2"/>
        <v>0</v>
      </c>
      <c r="R18" s="23">
        <f t="shared" si="3"/>
        <v>295000</v>
      </c>
    </row>
    <row r="19" spans="1:18" s="15" customFormat="1" ht="18" hidden="1" outlineLevel="1">
      <c r="A19" s="25"/>
      <c r="B19" s="33">
        <v>1326</v>
      </c>
      <c r="C19" s="29" t="s">
        <v>74</v>
      </c>
      <c r="D19" s="3">
        <f>_xlfn.IFERROR(0,0)</f>
        <v>0</v>
      </c>
      <c r="E19" s="3">
        <f t="shared" si="12"/>
        <v>0</v>
      </c>
      <c r="F19" s="3">
        <f t="shared" si="12"/>
        <v>0</v>
      </c>
      <c r="G19" s="3">
        <f t="shared" si="12"/>
        <v>0</v>
      </c>
      <c r="H19" s="3">
        <f t="shared" si="12"/>
        <v>0</v>
      </c>
      <c r="I19" s="3">
        <f t="shared" si="12"/>
        <v>0</v>
      </c>
      <c r="J19" s="3">
        <f t="shared" si="12"/>
        <v>0</v>
      </c>
      <c r="K19" s="3">
        <f t="shared" si="12"/>
        <v>0</v>
      </c>
      <c r="L19" s="3">
        <f t="shared" si="12"/>
        <v>0</v>
      </c>
      <c r="M19" s="3">
        <f t="shared" si="12"/>
        <v>0</v>
      </c>
      <c r="N19" s="3">
        <f t="shared" si="12"/>
        <v>0</v>
      </c>
      <c r="O19" s="3">
        <f t="shared" si="12"/>
        <v>0</v>
      </c>
      <c r="P19" s="3">
        <f t="shared" si="12"/>
        <v>0</v>
      </c>
      <c r="Q19" s="3">
        <f t="shared" si="2"/>
        <v>0</v>
      </c>
      <c r="R19" s="23">
        <f t="shared" si="3"/>
        <v>0</v>
      </c>
    </row>
    <row r="20" spans="1:18" s="15" customFormat="1" ht="18" hidden="1" outlineLevel="1">
      <c r="A20" s="25"/>
      <c r="B20" s="33">
        <v>1327</v>
      </c>
      <c r="C20" s="29" t="s">
        <v>44</v>
      </c>
      <c r="D20" s="3">
        <f>_xlfn.IFERROR(1000000,0)</f>
        <v>1000000</v>
      </c>
      <c r="E20" s="3">
        <f t="shared" si="12"/>
        <v>0</v>
      </c>
      <c r="F20" s="3">
        <f t="shared" si="12"/>
        <v>0</v>
      </c>
      <c r="G20" s="3">
        <f t="shared" si="12"/>
        <v>0</v>
      </c>
      <c r="H20" s="3">
        <f t="shared" si="12"/>
        <v>0</v>
      </c>
      <c r="I20" s="3">
        <f t="shared" si="12"/>
        <v>0</v>
      </c>
      <c r="J20" s="3">
        <f t="shared" si="12"/>
        <v>0</v>
      </c>
      <c r="K20" s="3">
        <f t="shared" si="12"/>
        <v>0</v>
      </c>
      <c r="L20" s="3">
        <f t="shared" si="12"/>
        <v>0</v>
      </c>
      <c r="M20" s="3">
        <f t="shared" si="12"/>
        <v>0</v>
      </c>
      <c r="N20" s="3">
        <f t="shared" si="12"/>
        <v>0</v>
      </c>
      <c r="O20" s="3">
        <f t="shared" si="12"/>
        <v>0</v>
      </c>
      <c r="P20" s="3">
        <f t="shared" si="12"/>
        <v>0</v>
      </c>
      <c r="Q20" s="3">
        <f t="shared" si="2"/>
        <v>0</v>
      </c>
      <c r="R20" s="23">
        <f t="shared" si="3"/>
        <v>1000000</v>
      </c>
    </row>
    <row r="21" spans="1:18" s="15" customFormat="1" ht="18" hidden="1" outlineLevel="1">
      <c r="A21" s="25"/>
      <c r="B21" s="33">
        <v>1328</v>
      </c>
      <c r="C21" s="29" t="s">
        <v>10</v>
      </c>
      <c r="D21" s="3">
        <f aca="true" t="shared" si="13" ref="D21:D23">_xlfn.IFERROR(0,0)</f>
        <v>0</v>
      </c>
      <c r="E21" s="3">
        <f t="shared" si="12"/>
        <v>0</v>
      </c>
      <c r="F21" s="3">
        <f t="shared" si="12"/>
        <v>0</v>
      </c>
      <c r="G21" s="3">
        <f t="shared" si="12"/>
        <v>0</v>
      </c>
      <c r="H21" s="3">
        <f t="shared" si="12"/>
        <v>0</v>
      </c>
      <c r="I21" s="3">
        <f t="shared" si="12"/>
        <v>0</v>
      </c>
      <c r="J21" s="3">
        <f t="shared" si="12"/>
        <v>0</v>
      </c>
      <c r="K21" s="3">
        <f t="shared" si="12"/>
        <v>0</v>
      </c>
      <c r="L21" s="3">
        <f t="shared" si="12"/>
        <v>0</v>
      </c>
      <c r="M21" s="3">
        <f t="shared" si="12"/>
        <v>0</v>
      </c>
      <c r="N21" s="3">
        <f t="shared" si="12"/>
        <v>0</v>
      </c>
      <c r="O21" s="3">
        <f t="shared" si="12"/>
        <v>0</v>
      </c>
      <c r="P21" s="3">
        <f t="shared" si="12"/>
        <v>0</v>
      </c>
      <c r="Q21" s="3">
        <f t="shared" si="2"/>
        <v>0</v>
      </c>
      <c r="R21" s="23">
        <f t="shared" si="3"/>
        <v>0</v>
      </c>
    </row>
    <row r="22" spans="1:18" s="15" customFormat="1" ht="18" hidden="1" outlineLevel="1">
      <c r="A22" s="25"/>
      <c r="B22" s="33">
        <v>1329</v>
      </c>
      <c r="C22" s="29" t="s">
        <v>61</v>
      </c>
      <c r="D22" s="3">
        <f t="shared" si="13"/>
        <v>0</v>
      </c>
      <c r="E22" s="3">
        <f t="shared" si="12"/>
        <v>0</v>
      </c>
      <c r="F22" s="3">
        <f t="shared" si="12"/>
        <v>0</v>
      </c>
      <c r="G22" s="3">
        <f t="shared" si="12"/>
        <v>0</v>
      </c>
      <c r="H22" s="3">
        <f t="shared" si="12"/>
        <v>0</v>
      </c>
      <c r="I22" s="3">
        <f t="shared" si="12"/>
        <v>0</v>
      </c>
      <c r="J22" s="3">
        <f t="shared" si="12"/>
        <v>0</v>
      </c>
      <c r="K22" s="3">
        <f t="shared" si="12"/>
        <v>0</v>
      </c>
      <c r="L22" s="3">
        <f t="shared" si="12"/>
        <v>0</v>
      </c>
      <c r="M22" s="3">
        <f t="shared" si="12"/>
        <v>0</v>
      </c>
      <c r="N22" s="3">
        <f t="shared" si="12"/>
        <v>0</v>
      </c>
      <c r="O22" s="3">
        <f t="shared" si="12"/>
        <v>0</v>
      </c>
      <c r="P22" s="3">
        <f t="shared" si="12"/>
        <v>0</v>
      </c>
      <c r="Q22" s="3">
        <f t="shared" si="2"/>
        <v>0</v>
      </c>
      <c r="R22" s="23">
        <f t="shared" si="3"/>
        <v>0</v>
      </c>
    </row>
    <row r="23" spans="1:18" s="15" customFormat="1" ht="18" hidden="1" outlineLevel="1">
      <c r="A23" s="25"/>
      <c r="B23" s="33">
        <v>1330</v>
      </c>
      <c r="C23" s="29" t="s">
        <v>11</v>
      </c>
      <c r="D23" s="3">
        <f t="shared" si="13"/>
        <v>0</v>
      </c>
      <c r="E23" s="3">
        <f t="shared" si="12"/>
        <v>0</v>
      </c>
      <c r="F23" s="3">
        <f t="shared" si="12"/>
        <v>0</v>
      </c>
      <c r="G23" s="3">
        <f t="shared" si="12"/>
        <v>0</v>
      </c>
      <c r="H23" s="3">
        <f t="shared" si="12"/>
        <v>0</v>
      </c>
      <c r="I23" s="3">
        <f t="shared" si="12"/>
        <v>0</v>
      </c>
      <c r="J23" s="3">
        <f t="shared" si="12"/>
        <v>0</v>
      </c>
      <c r="K23" s="3">
        <f t="shared" si="12"/>
        <v>0</v>
      </c>
      <c r="L23" s="3">
        <f t="shared" si="12"/>
        <v>0</v>
      </c>
      <c r="M23" s="3">
        <f t="shared" si="12"/>
        <v>0</v>
      </c>
      <c r="N23" s="3">
        <f t="shared" si="12"/>
        <v>0</v>
      </c>
      <c r="O23" s="3">
        <f t="shared" si="12"/>
        <v>0</v>
      </c>
      <c r="P23" s="3">
        <f t="shared" si="12"/>
        <v>0</v>
      </c>
      <c r="Q23" s="3">
        <f t="shared" si="2"/>
        <v>0</v>
      </c>
      <c r="R23" s="23">
        <f t="shared" si="3"/>
        <v>0</v>
      </c>
    </row>
    <row r="24" spans="1:18" s="15" customFormat="1" ht="18" hidden="1" outlineLevel="1">
      <c r="A24" s="25"/>
      <c r="B24" s="33">
        <v>1331</v>
      </c>
      <c r="C24" s="29" t="s">
        <v>25</v>
      </c>
      <c r="D24" s="3">
        <f>_xlfn.IFERROR(100020,0)</f>
        <v>100020</v>
      </c>
      <c r="E24" s="3">
        <f t="shared" si="12"/>
        <v>0</v>
      </c>
      <c r="F24" s="3">
        <f t="shared" si="12"/>
        <v>0</v>
      </c>
      <c r="G24" s="3">
        <f t="shared" si="12"/>
        <v>0</v>
      </c>
      <c r="H24" s="3">
        <f t="shared" si="12"/>
        <v>0</v>
      </c>
      <c r="I24" s="3">
        <f t="shared" si="12"/>
        <v>0</v>
      </c>
      <c r="J24" s="3">
        <f t="shared" si="12"/>
        <v>0</v>
      </c>
      <c r="K24" s="3">
        <f t="shared" si="12"/>
        <v>0</v>
      </c>
      <c r="L24" s="3">
        <f t="shared" si="12"/>
        <v>0</v>
      </c>
      <c r="M24" s="3">
        <f t="shared" si="12"/>
        <v>0</v>
      </c>
      <c r="N24" s="3">
        <f t="shared" si="12"/>
        <v>0</v>
      </c>
      <c r="O24" s="3">
        <f t="shared" si="12"/>
        <v>0</v>
      </c>
      <c r="P24" s="3">
        <f t="shared" si="12"/>
        <v>0</v>
      </c>
      <c r="Q24" s="3">
        <f t="shared" si="2"/>
        <v>0</v>
      </c>
      <c r="R24" s="23">
        <f t="shared" si="3"/>
        <v>100020</v>
      </c>
    </row>
    <row r="25" spans="1:18" s="15" customFormat="1" ht="18" hidden="1" outlineLevel="1">
      <c r="A25" s="25"/>
      <c r="B25" s="33">
        <v>1333</v>
      </c>
      <c r="C25" s="29" t="s">
        <v>56</v>
      </c>
      <c r="D25" s="3">
        <f>_xlfn.IFERROR(-1000000,0)</f>
        <v>-1000000</v>
      </c>
      <c r="E25" s="3">
        <f t="shared" si="12"/>
        <v>0</v>
      </c>
      <c r="F25" s="3">
        <f t="shared" si="12"/>
        <v>0</v>
      </c>
      <c r="G25" s="3">
        <f t="shared" si="12"/>
        <v>0</v>
      </c>
      <c r="H25" s="3">
        <f t="shared" si="12"/>
        <v>0</v>
      </c>
      <c r="I25" s="3">
        <f t="shared" si="12"/>
        <v>0</v>
      </c>
      <c r="J25" s="3">
        <f t="shared" si="12"/>
        <v>0</v>
      </c>
      <c r="K25" s="3">
        <f t="shared" si="12"/>
        <v>0</v>
      </c>
      <c r="L25" s="3">
        <f t="shared" si="12"/>
        <v>0</v>
      </c>
      <c r="M25" s="3">
        <f t="shared" si="12"/>
        <v>0</v>
      </c>
      <c r="N25" s="3">
        <f t="shared" si="12"/>
        <v>0</v>
      </c>
      <c r="O25" s="3">
        <f t="shared" si="12"/>
        <v>0</v>
      </c>
      <c r="P25" s="3">
        <f t="shared" si="12"/>
        <v>0</v>
      </c>
      <c r="Q25" s="3">
        <f t="shared" si="2"/>
        <v>0</v>
      </c>
      <c r="R25" s="23">
        <f t="shared" si="3"/>
        <v>-1000000</v>
      </c>
    </row>
    <row r="26" spans="1:18" s="15" customFormat="1" ht="18" hidden="1" outlineLevel="1">
      <c r="A26" s="25"/>
      <c r="B26" s="33">
        <v>1334</v>
      </c>
      <c r="C26" s="29" t="s">
        <v>132</v>
      </c>
      <c r="D26" s="3">
        <f>_xlfn.IFERROR(-100020,0)</f>
        <v>-100020</v>
      </c>
      <c r="E26" s="3">
        <f t="shared" si="12"/>
        <v>0</v>
      </c>
      <c r="F26" s="3">
        <f t="shared" si="12"/>
        <v>0</v>
      </c>
      <c r="G26" s="3">
        <f t="shared" si="12"/>
        <v>0</v>
      </c>
      <c r="H26" s="3">
        <f t="shared" si="12"/>
        <v>0</v>
      </c>
      <c r="I26" s="3">
        <f t="shared" si="12"/>
        <v>0</v>
      </c>
      <c r="J26" s="3">
        <f t="shared" si="12"/>
        <v>0</v>
      </c>
      <c r="K26" s="3">
        <f t="shared" si="12"/>
        <v>0</v>
      </c>
      <c r="L26" s="3">
        <f t="shared" si="12"/>
        <v>0</v>
      </c>
      <c r="M26" s="3">
        <f t="shared" si="12"/>
        <v>0</v>
      </c>
      <c r="N26" s="3">
        <f t="shared" si="12"/>
        <v>0</v>
      </c>
      <c r="O26" s="3">
        <f t="shared" si="12"/>
        <v>0</v>
      </c>
      <c r="P26" s="3">
        <f t="shared" si="12"/>
        <v>0</v>
      </c>
      <c r="Q26" s="3">
        <f t="shared" si="2"/>
        <v>0</v>
      </c>
      <c r="R26" s="23">
        <f t="shared" si="3"/>
        <v>-100020</v>
      </c>
    </row>
    <row r="27" spans="1:18" s="15" customFormat="1" ht="18" hidden="1" outlineLevel="1">
      <c r="A27" s="25"/>
      <c r="B27" s="33">
        <v>1340</v>
      </c>
      <c r="C27" s="29" t="s">
        <v>106</v>
      </c>
      <c r="D27" s="3">
        <f>_xlfn.IFERROR(100000,0)</f>
        <v>100000</v>
      </c>
      <c r="E27" s="3">
        <f t="shared" si="12"/>
        <v>0</v>
      </c>
      <c r="F27" s="3">
        <f t="shared" si="12"/>
        <v>0</v>
      </c>
      <c r="G27" s="3">
        <f t="shared" si="12"/>
        <v>0</v>
      </c>
      <c r="H27" s="3">
        <f t="shared" si="12"/>
        <v>0</v>
      </c>
      <c r="I27" s="3">
        <f t="shared" si="12"/>
        <v>0</v>
      </c>
      <c r="J27" s="3">
        <f t="shared" si="12"/>
        <v>0</v>
      </c>
      <c r="K27" s="3">
        <f t="shared" si="12"/>
        <v>0</v>
      </c>
      <c r="L27" s="3">
        <f t="shared" si="12"/>
        <v>0</v>
      </c>
      <c r="M27" s="3">
        <f t="shared" si="12"/>
        <v>0</v>
      </c>
      <c r="N27" s="3">
        <f t="shared" si="12"/>
        <v>0</v>
      </c>
      <c r="O27" s="3">
        <f t="shared" si="12"/>
        <v>0</v>
      </c>
      <c r="P27" s="3">
        <f t="shared" si="12"/>
        <v>0</v>
      </c>
      <c r="Q27" s="3">
        <f t="shared" si="2"/>
        <v>0</v>
      </c>
      <c r="R27" s="23">
        <f t="shared" si="3"/>
        <v>100000</v>
      </c>
    </row>
    <row r="28" spans="1:18" s="15" customFormat="1" ht="18" hidden="1" outlineLevel="1">
      <c r="A28" s="25"/>
      <c r="B28" s="33">
        <v>1500</v>
      </c>
      <c r="C28" s="29" t="s">
        <v>75</v>
      </c>
      <c r="D28" s="3">
        <f>_xlfn.IFERROR(2748983.75,0)</f>
        <v>2748983.75</v>
      </c>
      <c r="E28" s="3">
        <f>_xlfn.IFERROR(126275,0)</f>
        <v>126275</v>
      </c>
      <c r="F28" s="3">
        <f>_xlfn.IFERROR(38821.25,0)</f>
        <v>38821.25</v>
      </c>
      <c r="G28" s="3">
        <f>_xlfn.IFERROR(-68176.25,0)</f>
        <v>-68176.25</v>
      </c>
      <c r="H28" s="3">
        <f>_xlfn.IFERROR(-117503.75,0)</f>
        <v>-117503.75</v>
      </c>
      <c r="I28" s="3">
        <f>_xlfn.IFERROR(-1378478.75,0)</f>
        <v>-1378478.75</v>
      </c>
      <c r="J28" s="3">
        <f>_xlfn.IFERROR(-399388.75,0)</f>
        <v>-399388.75</v>
      </c>
      <c r="K28" s="3">
        <f>_xlfn.IFERROR(944723.75,0)</f>
        <v>944723.75</v>
      </c>
      <c r="L28" s="3">
        <f>_xlfn.IFERROR(-1016797.5,0)</f>
        <v>-1016797.5</v>
      </c>
      <c r="M28" s="3">
        <f>_xlfn.IFERROR(426837.5,0)</f>
        <v>426837.5</v>
      </c>
      <c r="N28" s="3">
        <f>_xlfn.IFERROR(-153952.5,0)</f>
        <v>-153952.5</v>
      </c>
      <c r="O28" s="3">
        <f>_xlfn.IFERROR(476473.75,0)</f>
        <v>476473.75</v>
      </c>
      <c r="P28" s="3">
        <f>_xlfn.IFERROR(-6533.75,0)</f>
        <v>-6533.75</v>
      </c>
      <c r="Q28" s="3">
        <f t="shared" si="2"/>
        <v>-1127700</v>
      </c>
      <c r="R28" s="23">
        <f t="shared" si="3"/>
        <v>1621283.75</v>
      </c>
    </row>
    <row r="29" spans="1:18" s="15" customFormat="1" ht="18" hidden="1" outlineLevel="1">
      <c r="A29" s="25"/>
      <c r="B29" s="33">
        <v>1511</v>
      </c>
      <c r="C29" s="29" t="s">
        <v>57</v>
      </c>
      <c r="D29" s="3">
        <f>_xlfn.IFERROR(-2743609,0)</f>
        <v>-2743609</v>
      </c>
      <c r="E29" s="3">
        <f aca="true" t="shared" si="14" ref="E29:H46">_xlfn.IFERROR(0,0)</f>
        <v>0</v>
      </c>
      <c r="F29" s="3">
        <f t="shared" si="14"/>
        <v>0</v>
      </c>
      <c r="G29" s="3">
        <f t="shared" si="14"/>
        <v>0</v>
      </c>
      <c r="H29" s="3">
        <f t="shared" si="14"/>
        <v>0</v>
      </c>
      <c r="I29" s="3">
        <f aca="true" t="shared" si="15" ref="I29:I40">_xlfn.IFERROR(0,0)</f>
        <v>0</v>
      </c>
      <c r="J29" s="3">
        <f aca="true" t="shared" si="16" ref="J29:P33">_xlfn.IFERROR(0,0)</f>
        <v>0</v>
      </c>
      <c r="K29" s="3">
        <f t="shared" si="16"/>
        <v>0</v>
      </c>
      <c r="L29" s="3">
        <f t="shared" si="16"/>
        <v>0</v>
      </c>
      <c r="M29" s="3">
        <f t="shared" si="16"/>
        <v>0</v>
      </c>
      <c r="N29" s="3">
        <f t="shared" si="16"/>
        <v>0</v>
      </c>
      <c r="O29" s="3">
        <f t="shared" si="16"/>
        <v>0</v>
      </c>
      <c r="P29" s="3">
        <f t="shared" si="16"/>
        <v>0</v>
      </c>
      <c r="Q29" s="3">
        <f t="shared" si="2"/>
        <v>0</v>
      </c>
      <c r="R29" s="23">
        <f t="shared" si="3"/>
        <v>-2743609</v>
      </c>
    </row>
    <row r="30" spans="1:18" s="15" customFormat="1" ht="18" hidden="1" outlineLevel="1">
      <c r="A30" s="25"/>
      <c r="B30" s="33">
        <v>1512</v>
      </c>
      <c r="C30" s="29" t="s">
        <v>12</v>
      </c>
      <c r="D30" s="3">
        <f>_xlfn.IFERROR(2743609,0)</f>
        <v>2743609</v>
      </c>
      <c r="E30" s="3">
        <f t="shared" si="14"/>
        <v>0</v>
      </c>
      <c r="F30" s="3">
        <f t="shared" si="14"/>
        <v>0</v>
      </c>
      <c r="G30" s="3">
        <f t="shared" si="14"/>
        <v>0</v>
      </c>
      <c r="H30" s="3">
        <f t="shared" si="14"/>
        <v>0</v>
      </c>
      <c r="I30" s="3">
        <f t="shared" si="15"/>
        <v>0</v>
      </c>
      <c r="J30" s="3">
        <f t="shared" si="16"/>
        <v>0</v>
      </c>
      <c r="K30" s="3">
        <f t="shared" si="16"/>
        <v>0</v>
      </c>
      <c r="L30" s="3">
        <f t="shared" si="16"/>
        <v>0</v>
      </c>
      <c r="M30" s="3">
        <f t="shared" si="16"/>
        <v>0</v>
      </c>
      <c r="N30" s="3">
        <f t="shared" si="16"/>
        <v>0</v>
      </c>
      <c r="O30" s="3">
        <f t="shared" si="16"/>
        <v>0</v>
      </c>
      <c r="P30" s="3">
        <f t="shared" si="16"/>
        <v>0</v>
      </c>
      <c r="Q30" s="3">
        <f t="shared" si="2"/>
        <v>0</v>
      </c>
      <c r="R30" s="23">
        <f t="shared" si="3"/>
        <v>2743609</v>
      </c>
    </row>
    <row r="31" spans="1:18" s="15" customFormat="1" ht="18" hidden="1" outlineLevel="1">
      <c r="A31" s="25"/>
      <c r="B31" s="33">
        <v>1520</v>
      </c>
      <c r="C31" s="29" t="s">
        <v>133</v>
      </c>
      <c r="D31" s="3">
        <f aca="true" t="shared" si="17" ref="D31:D33">_xlfn.IFERROR(0,0)</f>
        <v>0</v>
      </c>
      <c r="E31" s="3">
        <f t="shared" si="14"/>
        <v>0</v>
      </c>
      <c r="F31" s="3">
        <f t="shared" si="14"/>
        <v>0</v>
      </c>
      <c r="G31" s="3">
        <f t="shared" si="14"/>
        <v>0</v>
      </c>
      <c r="H31" s="3">
        <f t="shared" si="14"/>
        <v>0</v>
      </c>
      <c r="I31" s="3">
        <f t="shared" si="15"/>
        <v>0</v>
      </c>
      <c r="J31" s="3">
        <f t="shared" si="16"/>
        <v>0</v>
      </c>
      <c r="K31" s="3">
        <f t="shared" si="16"/>
        <v>0</v>
      </c>
      <c r="L31" s="3">
        <f t="shared" si="16"/>
        <v>0</v>
      </c>
      <c r="M31" s="3">
        <f t="shared" si="16"/>
        <v>0</v>
      </c>
      <c r="N31" s="3">
        <f t="shared" si="16"/>
        <v>0</v>
      </c>
      <c r="O31" s="3">
        <f t="shared" si="16"/>
        <v>0</v>
      </c>
      <c r="P31" s="3">
        <f t="shared" si="16"/>
        <v>0</v>
      </c>
      <c r="Q31" s="3">
        <f t="shared" si="2"/>
        <v>0</v>
      </c>
      <c r="R31" s="23">
        <f t="shared" si="3"/>
        <v>0</v>
      </c>
    </row>
    <row r="32" spans="1:18" s="15" customFormat="1" ht="18" hidden="1" outlineLevel="1">
      <c r="A32" s="25"/>
      <c r="B32" s="33">
        <v>1550</v>
      </c>
      <c r="C32" s="29" t="s">
        <v>45</v>
      </c>
      <c r="D32" s="3">
        <f t="shared" si="17"/>
        <v>0</v>
      </c>
      <c r="E32" s="3">
        <f t="shared" si="14"/>
        <v>0</v>
      </c>
      <c r="F32" s="3">
        <f t="shared" si="14"/>
        <v>0</v>
      </c>
      <c r="G32" s="3">
        <f t="shared" si="14"/>
        <v>0</v>
      </c>
      <c r="H32" s="3">
        <f t="shared" si="14"/>
        <v>0</v>
      </c>
      <c r="I32" s="3">
        <f t="shared" si="15"/>
        <v>0</v>
      </c>
      <c r="J32" s="3">
        <f t="shared" si="16"/>
        <v>0</v>
      </c>
      <c r="K32" s="3">
        <f t="shared" si="16"/>
        <v>0</v>
      </c>
      <c r="L32" s="3">
        <f t="shared" si="16"/>
        <v>0</v>
      </c>
      <c r="M32" s="3">
        <f t="shared" si="16"/>
        <v>0</v>
      </c>
      <c r="N32" s="3">
        <f t="shared" si="16"/>
        <v>0</v>
      </c>
      <c r="O32" s="3">
        <f t="shared" si="16"/>
        <v>0</v>
      </c>
      <c r="P32" s="3">
        <f t="shared" si="16"/>
        <v>0</v>
      </c>
      <c r="Q32" s="3">
        <f t="shared" si="2"/>
        <v>0</v>
      </c>
      <c r="R32" s="23">
        <f t="shared" si="3"/>
        <v>0</v>
      </c>
    </row>
    <row r="33" spans="1:18" s="15" customFormat="1" ht="18" hidden="1" outlineLevel="1">
      <c r="A33" s="25"/>
      <c r="B33" s="33">
        <v>1554</v>
      </c>
      <c r="C33" s="29" t="s">
        <v>62</v>
      </c>
      <c r="D33" s="3">
        <f t="shared" si="17"/>
        <v>0</v>
      </c>
      <c r="E33" s="3">
        <f t="shared" si="14"/>
        <v>0</v>
      </c>
      <c r="F33" s="3">
        <f t="shared" si="14"/>
        <v>0</v>
      </c>
      <c r="G33" s="3">
        <f t="shared" si="14"/>
        <v>0</v>
      </c>
      <c r="H33" s="3">
        <f t="shared" si="14"/>
        <v>0</v>
      </c>
      <c r="I33" s="3">
        <f t="shared" si="15"/>
        <v>0</v>
      </c>
      <c r="J33" s="3">
        <f t="shared" si="16"/>
        <v>0</v>
      </c>
      <c r="K33" s="3">
        <f t="shared" si="16"/>
        <v>0</v>
      </c>
      <c r="L33" s="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2"/>
        <v>0</v>
      </c>
      <c r="R33" s="23">
        <f t="shared" si="3"/>
        <v>0</v>
      </c>
    </row>
    <row r="34" spans="1:18" s="15" customFormat="1" ht="18" hidden="1" outlineLevel="1">
      <c r="A34" s="25"/>
      <c r="B34" s="33">
        <v>1558</v>
      </c>
      <c r="C34" s="29" t="s">
        <v>2</v>
      </c>
      <c r="D34" s="3">
        <f>_xlfn.IFERROR(770600,0)</f>
        <v>770600</v>
      </c>
      <c r="E34" s="3">
        <f t="shared" si="14"/>
        <v>0</v>
      </c>
      <c r="F34" s="3">
        <f t="shared" si="14"/>
        <v>0</v>
      </c>
      <c r="G34" s="3">
        <f t="shared" si="14"/>
        <v>0</v>
      </c>
      <c r="H34" s="3">
        <f t="shared" si="14"/>
        <v>0</v>
      </c>
      <c r="I34" s="3">
        <f t="shared" si="15"/>
        <v>0</v>
      </c>
      <c r="J34" s="3">
        <f>_xlfn.IFERROR(-270600,0)</f>
        <v>-270600</v>
      </c>
      <c r="K34" s="3">
        <f>_xlfn.IFERROR(-500000,0)</f>
        <v>-500000</v>
      </c>
      <c r="L34" s="3">
        <f aca="true" t="shared" si="18" ref="L34:O42">_xlfn.IFERROR(0,0)</f>
        <v>0</v>
      </c>
      <c r="M34" s="3">
        <f t="shared" si="18"/>
        <v>0</v>
      </c>
      <c r="N34" s="3">
        <f t="shared" si="18"/>
        <v>0</v>
      </c>
      <c r="O34" s="3">
        <f t="shared" si="18"/>
        <v>0</v>
      </c>
      <c r="P34" s="3">
        <f aca="true" t="shared" si="19" ref="P34:P41">_xlfn.IFERROR(0,0)</f>
        <v>0</v>
      </c>
      <c r="Q34" s="3">
        <f t="shared" si="2"/>
        <v>-770600</v>
      </c>
      <c r="R34" s="23">
        <f t="shared" si="3"/>
        <v>0</v>
      </c>
    </row>
    <row r="35" spans="1:18" s="15" customFormat="1" ht="18" hidden="1" outlineLevel="1">
      <c r="A35" s="25"/>
      <c r="B35" s="33">
        <v>1559</v>
      </c>
      <c r="C35" s="29" t="s">
        <v>46</v>
      </c>
      <c r="D35" s="3">
        <f aca="true" t="shared" si="20" ref="D35:D37">_xlfn.IFERROR(0,0)</f>
        <v>0</v>
      </c>
      <c r="E35" s="3">
        <f t="shared" si="14"/>
        <v>0</v>
      </c>
      <c r="F35" s="3">
        <f t="shared" si="14"/>
        <v>0</v>
      </c>
      <c r="G35" s="3">
        <f t="shared" si="14"/>
        <v>0</v>
      </c>
      <c r="H35" s="3">
        <f t="shared" si="14"/>
        <v>0</v>
      </c>
      <c r="I35" s="3">
        <f t="shared" si="15"/>
        <v>0</v>
      </c>
      <c r="J35" s="3">
        <f aca="true" t="shared" si="21" ref="J35:J42">_xlfn.IFERROR(0,0)</f>
        <v>0</v>
      </c>
      <c r="K35" s="3">
        <f aca="true" t="shared" si="22" ref="K35:K41">_xlfn.IFERROR(0,0)</f>
        <v>0</v>
      </c>
      <c r="L35" s="3">
        <f t="shared" si="18"/>
        <v>0</v>
      </c>
      <c r="M35" s="3">
        <f t="shared" si="18"/>
        <v>0</v>
      </c>
      <c r="N35" s="3">
        <f t="shared" si="18"/>
        <v>0</v>
      </c>
      <c r="O35" s="3">
        <f t="shared" si="18"/>
        <v>0</v>
      </c>
      <c r="P35" s="3">
        <f t="shared" si="19"/>
        <v>0</v>
      </c>
      <c r="Q35" s="3">
        <f t="shared" si="2"/>
        <v>0</v>
      </c>
      <c r="R35" s="23">
        <f t="shared" si="3"/>
        <v>0</v>
      </c>
    </row>
    <row r="36" spans="1:18" s="15" customFormat="1" ht="18" hidden="1" outlineLevel="1">
      <c r="A36" s="25"/>
      <c r="B36" s="33">
        <v>1560</v>
      </c>
      <c r="C36" s="29" t="s">
        <v>63</v>
      </c>
      <c r="D36" s="3">
        <f t="shared" si="20"/>
        <v>0</v>
      </c>
      <c r="E36" s="3">
        <f t="shared" si="14"/>
        <v>0</v>
      </c>
      <c r="F36" s="3">
        <f t="shared" si="14"/>
        <v>0</v>
      </c>
      <c r="G36" s="3">
        <f t="shared" si="14"/>
        <v>0</v>
      </c>
      <c r="H36" s="3">
        <f t="shared" si="14"/>
        <v>0</v>
      </c>
      <c r="I36" s="3">
        <f t="shared" si="15"/>
        <v>0</v>
      </c>
      <c r="J36" s="3">
        <f t="shared" si="21"/>
        <v>0</v>
      </c>
      <c r="K36" s="3">
        <f t="shared" si="22"/>
        <v>0</v>
      </c>
      <c r="L36" s="3">
        <f t="shared" si="18"/>
        <v>0</v>
      </c>
      <c r="M36" s="3">
        <f t="shared" si="18"/>
        <v>0</v>
      </c>
      <c r="N36" s="3">
        <f t="shared" si="18"/>
        <v>0</v>
      </c>
      <c r="O36" s="3">
        <f t="shared" si="18"/>
        <v>0</v>
      </c>
      <c r="P36" s="3">
        <f t="shared" si="19"/>
        <v>0</v>
      </c>
      <c r="Q36" s="3">
        <f t="shared" si="2"/>
        <v>0</v>
      </c>
      <c r="R36" s="23">
        <f t="shared" si="3"/>
        <v>0</v>
      </c>
    </row>
    <row r="37" spans="1:18" s="15" customFormat="1" ht="18" hidden="1" outlineLevel="1">
      <c r="A37" s="25"/>
      <c r="B37" s="33">
        <v>1561</v>
      </c>
      <c r="C37" s="29" t="s">
        <v>76</v>
      </c>
      <c r="D37" s="3">
        <f t="shared" si="20"/>
        <v>0</v>
      </c>
      <c r="E37" s="3">
        <f t="shared" si="14"/>
        <v>0</v>
      </c>
      <c r="F37" s="3">
        <f t="shared" si="14"/>
        <v>0</v>
      </c>
      <c r="G37" s="3">
        <f t="shared" si="14"/>
        <v>0</v>
      </c>
      <c r="H37" s="3">
        <f t="shared" si="14"/>
        <v>0</v>
      </c>
      <c r="I37" s="3">
        <f t="shared" si="15"/>
        <v>0</v>
      </c>
      <c r="J37" s="3">
        <f t="shared" si="21"/>
        <v>0</v>
      </c>
      <c r="K37" s="3">
        <f t="shared" si="22"/>
        <v>0</v>
      </c>
      <c r="L37" s="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9"/>
        <v>0</v>
      </c>
      <c r="Q37" s="3">
        <f t="shared" si="2"/>
        <v>0</v>
      </c>
      <c r="R37" s="23">
        <f t="shared" si="3"/>
        <v>0</v>
      </c>
    </row>
    <row r="38" spans="1:18" s="15" customFormat="1" ht="18" hidden="1" outlineLevel="1">
      <c r="A38" s="25"/>
      <c r="B38" s="33">
        <v>1565</v>
      </c>
      <c r="C38" s="29" t="s">
        <v>26</v>
      </c>
      <c r="D38" s="3">
        <f>_xlfn.IFERROR(9087508,0)</f>
        <v>9087508</v>
      </c>
      <c r="E38" s="3">
        <f t="shared" si="14"/>
        <v>0</v>
      </c>
      <c r="F38" s="3">
        <f t="shared" si="14"/>
        <v>0</v>
      </c>
      <c r="G38" s="3">
        <f t="shared" si="14"/>
        <v>0</v>
      </c>
      <c r="H38" s="3">
        <f t="shared" si="14"/>
        <v>0</v>
      </c>
      <c r="I38" s="3">
        <f t="shared" si="15"/>
        <v>0</v>
      </c>
      <c r="J38" s="3">
        <f t="shared" si="21"/>
        <v>0</v>
      </c>
      <c r="K38" s="3">
        <f t="shared" si="22"/>
        <v>0</v>
      </c>
      <c r="L38" s="3">
        <f t="shared" si="18"/>
        <v>0</v>
      </c>
      <c r="M38" s="3">
        <f t="shared" si="18"/>
        <v>0</v>
      </c>
      <c r="N38" s="3">
        <f t="shared" si="18"/>
        <v>0</v>
      </c>
      <c r="O38" s="3">
        <f t="shared" si="18"/>
        <v>0</v>
      </c>
      <c r="P38" s="3">
        <f t="shared" si="19"/>
        <v>0</v>
      </c>
      <c r="Q38" s="3">
        <f t="shared" si="2"/>
        <v>0</v>
      </c>
      <c r="R38" s="23">
        <f t="shared" si="3"/>
        <v>9087508</v>
      </c>
    </row>
    <row r="39" spans="1:18" s="15" customFormat="1" ht="18" hidden="1" outlineLevel="1">
      <c r="A39" s="25"/>
      <c r="B39" s="33">
        <v>1567</v>
      </c>
      <c r="C39" s="29" t="s">
        <v>13</v>
      </c>
      <c r="D39" s="3">
        <f>_xlfn.IFERROR(83000,0)</f>
        <v>83000</v>
      </c>
      <c r="E39" s="3">
        <f t="shared" si="14"/>
        <v>0</v>
      </c>
      <c r="F39" s="3">
        <f t="shared" si="14"/>
        <v>0</v>
      </c>
      <c r="G39" s="3">
        <f t="shared" si="14"/>
        <v>0</v>
      </c>
      <c r="H39" s="3">
        <f t="shared" si="14"/>
        <v>0</v>
      </c>
      <c r="I39" s="3">
        <f t="shared" si="15"/>
        <v>0</v>
      </c>
      <c r="J39" s="3">
        <f t="shared" si="21"/>
        <v>0</v>
      </c>
      <c r="K39" s="3">
        <f t="shared" si="22"/>
        <v>0</v>
      </c>
      <c r="L39" s="3">
        <f t="shared" si="18"/>
        <v>0</v>
      </c>
      <c r="M39" s="3">
        <f t="shared" si="18"/>
        <v>0</v>
      </c>
      <c r="N39" s="3">
        <f t="shared" si="18"/>
        <v>0</v>
      </c>
      <c r="O39" s="3">
        <f t="shared" si="18"/>
        <v>0</v>
      </c>
      <c r="P39" s="3">
        <f t="shared" si="19"/>
        <v>0</v>
      </c>
      <c r="Q39" s="3">
        <f t="shared" si="2"/>
        <v>0</v>
      </c>
      <c r="R39" s="23">
        <f t="shared" si="3"/>
        <v>83000</v>
      </c>
    </row>
    <row r="40" spans="1:18" s="15" customFormat="1" ht="18" hidden="1" outlineLevel="1">
      <c r="A40" s="25"/>
      <c r="B40" s="33">
        <v>1571</v>
      </c>
      <c r="C40" s="29" t="s">
        <v>89</v>
      </c>
      <c r="D40" s="3">
        <f>_xlfn.IFERROR(0,0)</f>
        <v>0</v>
      </c>
      <c r="E40" s="3">
        <f t="shared" si="14"/>
        <v>0</v>
      </c>
      <c r="F40" s="3">
        <f t="shared" si="14"/>
        <v>0</v>
      </c>
      <c r="G40" s="3">
        <f t="shared" si="14"/>
        <v>0</v>
      </c>
      <c r="H40" s="3">
        <f t="shared" si="14"/>
        <v>0</v>
      </c>
      <c r="I40" s="3">
        <f t="shared" si="15"/>
        <v>0</v>
      </c>
      <c r="J40" s="3">
        <f t="shared" si="21"/>
        <v>0</v>
      </c>
      <c r="K40" s="3">
        <f t="shared" si="22"/>
        <v>0</v>
      </c>
      <c r="L40" s="3">
        <f t="shared" si="18"/>
        <v>0</v>
      </c>
      <c r="M40" s="3">
        <f t="shared" si="18"/>
        <v>0</v>
      </c>
      <c r="N40" s="3">
        <f t="shared" si="18"/>
        <v>0</v>
      </c>
      <c r="O40" s="3">
        <f t="shared" si="18"/>
        <v>0</v>
      </c>
      <c r="P40" s="3">
        <f t="shared" si="19"/>
        <v>0</v>
      </c>
      <c r="Q40" s="3">
        <f t="shared" si="2"/>
        <v>0</v>
      </c>
      <c r="R40" s="23">
        <f t="shared" si="3"/>
        <v>0</v>
      </c>
    </row>
    <row r="41" spans="1:18" s="15" customFormat="1" ht="18" hidden="1" outlineLevel="1">
      <c r="A41" s="25"/>
      <c r="B41" s="33">
        <v>1573</v>
      </c>
      <c r="C41" s="29" t="s">
        <v>112</v>
      </c>
      <c r="D41" s="3">
        <f>_xlfn.IFERROR(-262326.34,0)</f>
        <v>-262326.34</v>
      </c>
      <c r="E41" s="3">
        <f t="shared" si="14"/>
        <v>0</v>
      </c>
      <c r="F41" s="3">
        <f t="shared" si="14"/>
        <v>0</v>
      </c>
      <c r="G41" s="3">
        <f t="shared" si="14"/>
        <v>0</v>
      </c>
      <c r="H41" s="3">
        <f t="shared" si="14"/>
        <v>0</v>
      </c>
      <c r="I41" s="3">
        <f>_xlfn.IFERROR(262326.34,0)</f>
        <v>262326.34</v>
      </c>
      <c r="J41" s="3">
        <f t="shared" si="21"/>
        <v>0</v>
      </c>
      <c r="K41" s="3">
        <f t="shared" si="22"/>
        <v>0</v>
      </c>
      <c r="L41" s="3">
        <f t="shared" si="18"/>
        <v>0</v>
      </c>
      <c r="M41" s="3">
        <f t="shared" si="18"/>
        <v>0</v>
      </c>
      <c r="N41" s="3">
        <f t="shared" si="18"/>
        <v>0</v>
      </c>
      <c r="O41" s="3">
        <f t="shared" si="18"/>
        <v>0</v>
      </c>
      <c r="P41" s="3">
        <f t="shared" si="19"/>
        <v>0</v>
      </c>
      <c r="Q41" s="3">
        <f t="shared" si="2"/>
        <v>262326.34</v>
      </c>
      <c r="R41" s="23">
        <f t="shared" si="3"/>
        <v>0</v>
      </c>
    </row>
    <row r="42" spans="1:18" s="15" customFormat="1" ht="18" hidden="1" outlineLevel="1">
      <c r="A42" s="25"/>
      <c r="B42" s="33">
        <v>1574</v>
      </c>
      <c r="C42" s="29" t="s">
        <v>14</v>
      </c>
      <c r="D42" s="3">
        <f>_xlfn.IFERROR(7679882,0)</f>
        <v>7679882</v>
      </c>
      <c r="E42" s="3">
        <f t="shared" si="14"/>
        <v>0</v>
      </c>
      <c r="F42" s="3">
        <f t="shared" si="14"/>
        <v>0</v>
      </c>
      <c r="G42" s="3">
        <f t="shared" si="14"/>
        <v>0</v>
      </c>
      <c r="H42" s="3">
        <f t="shared" si="14"/>
        <v>0</v>
      </c>
      <c r="I42" s="3">
        <f>_xlfn.IFERROR(-779882,0)</f>
        <v>-779882</v>
      </c>
      <c r="J42" s="3">
        <f t="shared" si="21"/>
        <v>0</v>
      </c>
      <c r="K42" s="3">
        <f>_xlfn.IFERROR(-200000,0)</f>
        <v>-200000</v>
      </c>
      <c r="L42" s="3">
        <f t="shared" si="18"/>
        <v>0</v>
      </c>
      <c r="M42" s="3">
        <f t="shared" si="18"/>
        <v>0</v>
      </c>
      <c r="N42" s="3">
        <f t="shared" si="18"/>
        <v>0</v>
      </c>
      <c r="O42" s="3">
        <f t="shared" si="18"/>
        <v>0</v>
      </c>
      <c r="P42" s="3">
        <f>_xlfn.IFERROR(-900000,0)</f>
        <v>-900000</v>
      </c>
      <c r="Q42" s="3">
        <f t="shared" si="2"/>
        <v>-1879882</v>
      </c>
      <c r="R42" s="23">
        <f t="shared" si="3"/>
        <v>5800000</v>
      </c>
    </row>
    <row r="43" spans="1:18" s="15" customFormat="1" ht="18" hidden="1" outlineLevel="1">
      <c r="A43" s="25"/>
      <c r="B43" s="33">
        <v>1575</v>
      </c>
      <c r="C43" s="29" t="s">
        <v>113</v>
      </c>
      <c r="D43" s="3">
        <f>_xlfn.IFERROR(2178950,0)</f>
        <v>2178950</v>
      </c>
      <c r="E43" s="3">
        <f t="shared" si="14"/>
        <v>0</v>
      </c>
      <c r="F43" s="3">
        <f t="shared" si="14"/>
        <v>0</v>
      </c>
      <c r="G43" s="3">
        <f t="shared" si="14"/>
        <v>0</v>
      </c>
      <c r="H43" s="3">
        <f t="shared" si="14"/>
        <v>0</v>
      </c>
      <c r="I43" s="3">
        <f>_xlfn.IFERROR(2957342,0)</f>
        <v>2957342</v>
      </c>
      <c r="J43" s="3">
        <f>_xlfn.IFERROR(600000,0)</f>
        <v>600000</v>
      </c>
      <c r="K43" s="3">
        <f aca="true" t="shared" si="23" ref="K43:K46">_xlfn.IFERROR(0,0)</f>
        <v>0</v>
      </c>
      <c r="L43" s="3">
        <f>_xlfn.IFERROR(600000,0)</f>
        <v>600000</v>
      </c>
      <c r="M43" s="3">
        <f aca="true" t="shared" si="24" ref="M43:N46">_xlfn.IFERROR(0,0)</f>
        <v>0</v>
      </c>
      <c r="N43" s="3">
        <f t="shared" si="24"/>
        <v>0</v>
      </c>
      <c r="O43" s="3">
        <f>_xlfn.IFERROR(200000,0)</f>
        <v>200000</v>
      </c>
      <c r="P43" s="3">
        <f aca="true" t="shared" si="25" ref="P43:P46">_xlfn.IFERROR(0,0)</f>
        <v>0</v>
      </c>
      <c r="Q43" s="3">
        <f t="shared" si="2"/>
        <v>4357342</v>
      </c>
      <c r="R43" s="23">
        <f t="shared" si="3"/>
        <v>6536292</v>
      </c>
    </row>
    <row r="44" spans="1:18" s="15" customFormat="1" ht="18" hidden="1" outlineLevel="1">
      <c r="A44" s="25"/>
      <c r="B44" s="33">
        <v>1578</v>
      </c>
      <c r="C44" s="29" t="s">
        <v>123</v>
      </c>
      <c r="D44" s="3">
        <f>_xlfn.IFERROR(0,0)</f>
        <v>0</v>
      </c>
      <c r="E44" s="3">
        <f t="shared" si="14"/>
        <v>0</v>
      </c>
      <c r="F44" s="3">
        <f t="shared" si="14"/>
        <v>0</v>
      </c>
      <c r="G44" s="3">
        <f t="shared" si="14"/>
        <v>0</v>
      </c>
      <c r="H44" s="3">
        <f t="shared" si="14"/>
        <v>0</v>
      </c>
      <c r="I44" s="3">
        <f aca="true" t="shared" si="26" ref="I44:J46">_xlfn.IFERROR(0,0)</f>
        <v>0</v>
      </c>
      <c r="J44" s="3">
        <f t="shared" si="26"/>
        <v>0</v>
      </c>
      <c r="K44" s="3">
        <f t="shared" si="23"/>
        <v>0</v>
      </c>
      <c r="L44" s="3">
        <f aca="true" t="shared" si="27" ref="L44:L46">_xlfn.IFERROR(0,0)</f>
        <v>0</v>
      </c>
      <c r="M44" s="3">
        <f t="shared" si="24"/>
        <v>0</v>
      </c>
      <c r="N44" s="3">
        <f t="shared" si="24"/>
        <v>0</v>
      </c>
      <c r="O44" s="3">
        <f aca="true" t="shared" si="28" ref="O44:O46">_xlfn.IFERROR(0,0)</f>
        <v>0</v>
      </c>
      <c r="P44" s="3">
        <f t="shared" si="25"/>
        <v>0</v>
      </c>
      <c r="Q44" s="3">
        <f t="shared" si="2"/>
        <v>0</v>
      </c>
      <c r="R44" s="23">
        <f t="shared" si="3"/>
        <v>0</v>
      </c>
    </row>
    <row r="45" spans="1:18" s="15" customFormat="1" ht="18" hidden="1" outlineLevel="1">
      <c r="A45" s="25"/>
      <c r="B45" s="33">
        <v>1581</v>
      </c>
      <c r="C45" s="29" t="s">
        <v>82</v>
      </c>
      <c r="D45" s="3">
        <f>_xlfn.IFERROR(-83000,0)</f>
        <v>-83000</v>
      </c>
      <c r="E45" s="3">
        <f t="shared" si="14"/>
        <v>0</v>
      </c>
      <c r="F45" s="3">
        <f t="shared" si="14"/>
        <v>0</v>
      </c>
      <c r="G45" s="3">
        <f t="shared" si="14"/>
        <v>0</v>
      </c>
      <c r="H45" s="3">
        <f t="shared" si="14"/>
        <v>0</v>
      </c>
      <c r="I45" s="3">
        <f t="shared" si="26"/>
        <v>0</v>
      </c>
      <c r="J45" s="3">
        <f t="shared" si="26"/>
        <v>0</v>
      </c>
      <c r="K45" s="3">
        <f t="shared" si="23"/>
        <v>0</v>
      </c>
      <c r="L45" s="3">
        <f t="shared" si="27"/>
        <v>0</v>
      </c>
      <c r="M45" s="3">
        <f t="shared" si="24"/>
        <v>0</v>
      </c>
      <c r="N45" s="3">
        <f t="shared" si="24"/>
        <v>0</v>
      </c>
      <c r="O45" s="3">
        <f t="shared" si="28"/>
        <v>0</v>
      </c>
      <c r="P45" s="3">
        <f t="shared" si="25"/>
        <v>0</v>
      </c>
      <c r="Q45" s="3">
        <f t="shared" si="2"/>
        <v>0</v>
      </c>
      <c r="R45" s="23">
        <f t="shared" si="3"/>
        <v>-83000</v>
      </c>
    </row>
    <row r="46" spans="1:18" s="15" customFormat="1" ht="18" hidden="1" outlineLevel="1">
      <c r="A46" s="25"/>
      <c r="B46" s="33">
        <v>1582</v>
      </c>
      <c r="C46" s="29" t="s">
        <v>83</v>
      </c>
      <c r="D46" s="3">
        <f>_xlfn.IFERROR(-100000,0)</f>
        <v>-100000</v>
      </c>
      <c r="E46" s="3">
        <f t="shared" si="14"/>
        <v>0</v>
      </c>
      <c r="F46" s="3">
        <f t="shared" si="14"/>
        <v>0</v>
      </c>
      <c r="G46" s="3">
        <f t="shared" si="14"/>
        <v>0</v>
      </c>
      <c r="H46" s="3">
        <f t="shared" si="14"/>
        <v>0</v>
      </c>
      <c r="I46" s="3">
        <f t="shared" si="26"/>
        <v>0</v>
      </c>
      <c r="J46" s="3">
        <f t="shared" si="26"/>
        <v>0</v>
      </c>
      <c r="K46" s="3">
        <f t="shared" si="23"/>
        <v>0</v>
      </c>
      <c r="L46" s="3">
        <f t="shared" si="27"/>
        <v>0</v>
      </c>
      <c r="M46" s="3">
        <f t="shared" si="24"/>
        <v>0</v>
      </c>
      <c r="N46" s="3">
        <f t="shared" si="24"/>
        <v>0</v>
      </c>
      <c r="O46" s="3">
        <f t="shared" si="28"/>
        <v>0</v>
      </c>
      <c r="P46" s="3">
        <f t="shared" si="25"/>
        <v>0</v>
      </c>
      <c r="Q46" s="3">
        <f t="shared" si="2"/>
        <v>0</v>
      </c>
      <c r="R46" s="23">
        <f t="shared" si="3"/>
        <v>-100000</v>
      </c>
    </row>
    <row r="47" spans="1:18" s="15" customFormat="1" ht="18" hidden="1" outlineLevel="1">
      <c r="A47" s="25"/>
      <c r="B47" s="33">
        <v>1745</v>
      </c>
      <c r="C47" s="29" t="s">
        <v>98</v>
      </c>
      <c r="D47" s="3">
        <f>_xlfn.IFERROR(8119.94,0)</f>
        <v>8119.94</v>
      </c>
      <c r="E47" s="3">
        <f>_xlfn.IFERROR(60295.06,0)</f>
        <v>60295.06</v>
      </c>
      <c r="F47" s="3">
        <f>_xlfn.IFERROR(30962.3,0)</f>
        <v>30962.3</v>
      </c>
      <c r="G47" s="3">
        <f aca="true" t="shared" si="29" ref="G47:P47">_xlfn.IFERROR(-9034.3,0)</f>
        <v>-9034.3</v>
      </c>
      <c r="H47" s="3">
        <f t="shared" si="29"/>
        <v>-9034.3</v>
      </c>
      <c r="I47" s="3">
        <f t="shared" si="29"/>
        <v>-9034.3</v>
      </c>
      <c r="J47" s="3">
        <f t="shared" si="29"/>
        <v>-9034.3</v>
      </c>
      <c r="K47" s="3">
        <f t="shared" si="29"/>
        <v>-9034.3</v>
      </c>
      <c r="L47" s="3">
        <f t="shared" si="29"/>
        <v>-9034.3</v>
      </c>
      <c r="M47" s="3">
        <f t="shared" si="29"/>
        <v>-9034.3</v>
      </c>
      <c r="N47" s="3">
        <f t="shared" si="29"/>
        <v>-9034.3</v>
      </c>
      <c r="O47" s="3">
        <f t="shared" si="29"/>
        <v>-9034.3</v>
      </c>
      <c r="P47" s="3">
        <f t="shared" si="29"/>
        <v>-9034.3</v>
      </c>
      <c r="Q47" s="3">
        <f t="shared" si="2"/>
        <v>914.359999999986</v>
      </c>
      <c r="R47" s="23">
        <f t="shared" si="3"/>
        <v>9034.299999999985</v>
      </c>
    </row>
    <row r="48" spans="1:18" s="15" customFormat="1" ht="18" hidden="1" outlineLevel="1">
      <c r="A48" s="25"/>
      <c r="B48" s="33">
        <v>1748</v>
      </c>
      <c r="C48" s="29" t="s">
        <v>107</v>
      </c>
      <c r="D48" s="3">
        <f>_xlfn.IFERROR(19920,0)</f>
        <v>19920</v>
      </c>
      <c r="E48" s="3">
        <f>_xlfn.IFERROR(-19920,0)</f>
        <v>-19920</v>
      </c>
      <c r="F48" s="3">
        <f aca="true" t="shared" si="30" ref="F48:O48">_xlfn.IFERROR(0,0)</f>
        <v>0</v>
      </c>
      <c r="G48" s="3">
        <f t="shared" si="30"/>
        <v>0</v>
      </c>
      <c r="H48" s="3">
        <f t="shared" si="30"/>
        <v>0</v>
      </c>
      <c r="I48" s="3">
        <f t="shared" si="30"/>
        <v>0</v>
      </c>
      <c r="J48" s="3">
        <f t="shared" si="30"/>
        <v>0</v>
      </c>
      <c r="K48" s="3">
        <f t="shared" si="30"/>
        <v>0</v>
      </c>
      <c r="L48" s="3">
        <f t="shared" si="30"/>
        <v>0</v>
      </c>
      <c r="M48" s="3">
        <f t="shared" si="30"/>
        <v>0</v>
      </c>
      <c r="N48" s="3">
        <f t="shared" si="30"/>
        <v>0</v>
      </c>
      <c r="O48" s="3">
        <f t="shared" si="30"/>
        <v>0</v>
      </c>
      <c r="P48" s="3">
        <f>_xlfn.IFERROR(15158.89,0)</f>
        <v>15158.89</v>
      </c>
      <c r="Q48" s="3">
        <f t="shared" si="2"/>
        <v>-4761.110000000001</v>
      </c>
      <c r="R48" s="23">
        <f t="shared" si="3"/>
        <v>15158.89</v>
      </c>
    </row>
    <row r="49" spans="1:18" s="15" customFormat="1" ht="18" hidden="1" outlineLevel="1">
      <c r="A49" s="25"/>
      <c r="B49" s="33">
        <v>1925</v>
      </c>
      <c r="C49" s="29" t="s">
        <v>27</v>
      </c>
      <c r="D49" s="3">
        <f>_xlfn.IFERROR(367187.79,0)</f>
        <v>367187.79</v>
      </c>
      <c r="E49" s="3">
        <f>_xlfn.IFERROR(-38884.36,0)</f>
        <v>-38884.36</v>
      </c>
      <c r="F49" s="3">
        <f>_xlfn.IFERROR(-63510.26,0)</f>
        <v>-63510.26</v>
      </c>
      <c r="G49" s="3">
        <f>_xlfn.IFERROR(144882.21,0)</f>
        <v>144882.21</v>
      </c>
      <c r="H49" s="3">
        <f>_xlfn.IFERROR(87656.77,0)</f>
        <v>87656.77</v>
      </c>
      <c r="I49" s="3">
        <f>_xlfn.IFERROR(-383281.37,0)</f>
        <v>-383281.37</v>
      </c>
      <c r="J49" s="3">
        <f>_xlfn.IFERROR(-30661.85,0)</f>
        <v>-30661.85</v>
      </c>
      <c r="K49" s="3">
        <f>_xlfn.IFERROR(4398.18,0)</f>
        <v>4398.18</v>
      </c>
      <c r="L49" s="3">
        <f>_xlfn.IFERROR(428498.75,0)</f>
        <v>428498.75</v>
      </c>
      <c r="M49" s="3">
        <f>_xlfn.IFERROR(-15467.68,0)</f>
        <v>-15467.68</v>
      </c>
      <c r="N49" s="3">
        <f>_xlfn.IFERROR(218592.09,0)</f>
        <v>218592.09</v>
      </c>
      <c r="O49" s="3">
        <f>_xlfn.IFERROR(-567429.51,0)</f>
        <v>-567429.51</v>
      </c>
      <c r="P49" s="3">
        <f>_xlfn.IFERROR(237430.01,0)</f>
        <v>237430.01</v>
      </c>
      <c r="Q49" s="3">
        <f t="shared" si="2"/>
        <v>22222.97999999998</v>
      </c>
      <c r="R49" s="23">
        <f t="shared" si="3"/>
        <v>389410.76999999996</v>
      </c>
    </row>
    <row r="50" spans="1:18" s="15" customFormat="1" ht="18" hidden="1" outlineLevel="1">
      <c r="A50" s="25"/>
      <c r="B50" s="33">
        <v>1930</v>
      </c>
      <c r="C50" s="29" t="s">
        <v>114</v>
      </c>
      <c r="D50" s="3">
        <f aca="true" t="shared" si="31" ref="D50:P51">_xlfn.IFERROR(0,0)</f>
        <v>0</v>
      </c>
      <c r="E50" s="3">
        <f t="shared" si="31"/>
        <v>0</v>
      </c>
      <c r="F50" s="3">
        <f t="shared" si="31"/>
        <v>0</v>
      </c>
      <c r="G50" s="3">
        <f t="shared" si="31"/>
        <v>0</v>
      </c>
      <c r="H50" s="3">
        <f t="shared" si="31"/>
        <v>0</v>
      </c>
      <c r="I50" s="3">
        <f t="shared" si="31"/>
        <v>0</v>
      </c>
      <c r="J50" s="3">
        <f t="shared" si="31"/>
        <v>0</v>
      </c>
      <c r="K50" s="3">
        <f t="shared" si="31"/>
        <v>0</v>
      </c>
      <c r="L50" s="3">
        <f t="shared" si="31"/>
        <v>0</v>
      </c>
      <c r="M50" s="3">
        <f t="shared" si="31"/>
        <v>0</v>
      </c>
      <c r="N50" s="3">
        <f t="shared" si="31"/>
        <v>0</v>
      </c>
      <c r="O50" s="3">
        <f t="shared" si="31"/>
        <v>0</v>
      </c>
      <c r="P50" s="3">
        <f t="shared" si="31"/>
        <v>0</v>
      </c>
      <c r="Q50" s="3">
        <f t="shared" si="2"/>
        <v>0</v>
      </c>
      <c r="R50" s="23">
        <f t="shared" si="3"/>
        <v>0</v>
      </c>
    </row>
    <row r="51" spans="1:18" s="15" customFormat="1" ht="18" hidden="1" outlineLevel="1">
      <c r="A51" s="25"/>
      <c r="B51" s="33">
        <v>1940</v>
      </c>
      <c r="C51" s="29" t="s">
        <v>108</v>
      </c>
      <c r="D51" s="3">
        <f t="shared" si="31"/>
        <v>0</v>
      </c>
      <c r="E51" s="3">
        <f t="shared" si="31"/>
        <v>0</v>
      </c>
      <c r="F51" s="3">
        <f t="shared" si="31"/>
        <v>0</v>
      </c>
      <c r="G51" s="3">
        <f t="shared" si="31"/>
        <v>0</v>
      </c>
      <c r="H51" s="3">
        <f t="shared" si="31"/>
        <v>0</v>
      </c>
      <c r="I51" s="3">
        <f t="shared" si="31"/>
        <v>0</v>
      </c>
      <c r="J51" s="3">
        <f t="shared" si="31"/>
        <v>0</v>
      </c>
      <c r="K51" s="3">
        <f t="shared" si="31"/>
        <v>0</v>
      </c>
      <c r="L51" s="3">
        <f t="shared" si="31"/>
        <v>0</v>
      </c>
      <c r="M51" s="3">
        <f t="shared" si="31"/>
        <v>0</v>
      </c>
      <c r="N51" s="3">
        <f t="shared" si="31"/>
        <v>0</v>
      </c>
      <c r="O51" s="3">
        <f t="shared" si="31"/>
        <v>0</v>
      </c>
      <c r="P51" s="3">
        <f t="shared" si="31"/>
        <v>0</v>
      </c>
      <c r="Q51" s="3">
        <f t="shared" si="2"/>
        <v>0</v>
      </c>
      <c r="R51" s="23">
        <f t="shared" si="3"/>
        <v>0</v>
      </c>
    </row>
    <row r="52" spans="1:18" s="15" customFormat="1" ht="18" hidden="1" outlineLevel="1">
      <c r="A52" s="25"/>
      <c r="B52" s="33">
        <v>1955</v>
      </c>
      <c r="C52" s="29" t="s">
        <v>28</v>
      </c>
      <c r="D52" s="3">
        <f>_xlfn.IFERROR(164323,0)</f>
        <v>164323</v>
      </c>
      <c r="E52" s="3">
        <f>_xlfn.IFERROR(-60149,0)</f>
        <v>-60149</v>
      </c>
      <c r="F52" s="3">
        <f>_xlfn.IFERROR(112117,0)</f>
        <v>112117</v>
      </c>
      <c r="G52" s="3">
        <f>_xlfn.IFERROR(-108765,0)</f>
        <v>-108765</v>
      </c>
      <c r="H52" s="3">
        <f>_xlfn.IFERROR(108938,0)</f>
        <v>108938</v>
      </c>
      <c r="I52" s="3">
        <f>_xlfn.IFERROR(-107055,0)</f>
        <v>-107055</v>
      </c>
      <c r="J52" s="3">
        <f>_xlfn.IFERROR(55989,0)</f>
        <v>55989</v>
      </c>
      <c r="K52" s="3">
        <f>_xlfn.IFERROR(-60188,0)</f>
        <v>-60188</v>
      </c>
      <c r="L52" s="3">
        <f>_xlfn.IFERROR(110508,0)</f>
        <v>110508</v>
      </c>
      <c r="M52" s="3">
        <f>_xlfn.IFERROR(-109998,0)</f>
        <v>-109998</v>
      </c>
      <c r="N52" s="3">
        <f>_xlfn.IFERROR(124849,0)</f>
        <v>124849</v>
      </c>
      <c r="O52" s="3">
        <f>_xlfn.IFERROR(-101100,0)</f>
        <v>-101100</v>
      </c>
      <c r="P52" s="3">
        <f>_xlfn.IFERROR(68077,0)</f>
        <v>68077</v>
      </c>
      <c r="Q52" s="3">
        <f t="shared" si="2"/>
        <v>33223</v>
      </c>
      <c r="R52" s="23">
        <f t="shared" si="3"/>
        <v>197546</v>
      </c>
    </row>
    <row r="53" spans="1:18" s="15" customFormat="1" ht="18" hidden="1" outlineLevel="1">
      <c r="A53" s="25"/>
      <c r="B53" s="33">
        <v>2000</v>
      </c>
      <c r="C53" s="29" t="s">
        <v>64</v>
      </c>
      <c r="D53" s="3">
        <f>_xlfn.IFERROR(-30000,0)</f>
        <v>-30000</v>
      </c>
      <c r="E53" s="3">
        <f aca="true" t="shared" si="32" ref="E53:P57">_xlfn.IFERROR(0,0)</f>
        <v>0</v>
      </c>
      <c r="F53" s="3">
        <f t="shared" si="32"/>
        <v>0</v>
      </c>
      <c r="G53" s="3">
        <f t="shared" si="32"/>
        <v>0</v>
      </c>
      <c r="H53" s="3">
        <f t="shared" si="32"/>
        <v>0</v>
      </c>
      <c r="I53" s="3">
        <f t="shared" si="32"/>
        <v>0</v>
      </c>
      <c r="J53" s="3">
        <f t="shared" si="32"/>
        <v>0</v>
      </c>
      <c r="K53" s="3">
        <f t="shared" si="32"/>
        <v>0</v>
      </c>
      <c r="L53" s="3">
        <f t="shared" si="32"/>
        <v>0</v>
      </c>
      <c r="M53" s="3">
        <f t="shared" si="32"/>
        <v>0</v>
      </c>
      <c r="N53" s="3">
        <f t="shared" si="32"/>
        <v>0</v>
      </c>
      <c r="O53" s="3">
        <f t="shared" si="32"/>
        <v>0</v>
      </c>
      <c r="P53" s="3">
        <f t="shared" si="32"/>
        <v>0</v>
      </c>
      <c r="Q53" s="3">
        <f t="shared" si="2"/>
        <v>0</v>
      </c>
      <c r="R53" s="23">
        <f t="shared" si="3"/>
        <v>-30000</v>
      </c>
    </row>
    <row r="54" spans="1:18" s="15" customFormat="1" ht="18" hidden="1" outlineLevel="1">
      <c r="A54" s="25"/>
      <c r="B54" s="33">
        <v>2030</v>
      </c>
      <c r="C54" s="29" t="s">
        <v>29</v>
      </c>
      <c r="D54" s="3">
        <f>_xlfn.IFERROR(-27866623.29,0)</f>
        <v>-27866623.29</v>
      </c>
      <c r="E54" s="3">
        <f t="shared" si="32"/>
        <v>0</v>
      </c>
      <c r="F54" s="3">
        <f t="shared" si="32"/>
        <v>0</v>
      </c>
      <c r="G54" s="3">
        <f t="shared" si="32"/>
        <v>0</v>
      </c>
      <c r="H54" s="3">
        <f t="shared" si="32"/>
        <v>0</v>
      </c>
      <c r="I54" s="3">
        <f t="shared" si="32"/>
        <v>0</v>
      </c>
      <c r="J54" s="3">
        <f t="shared" si="32"/>
        <v>0</v>
      </c>
      <c r="K54" s="3">
        <f t="shared" si="32"/>
        <v>0</v>
      </c>
      <c r="L54" s="3">
        <f t="shared" si="32"/>
        <v>0</v>
      </c>
      <c r="M54" s="3">
        <f t="shared" si="32"/>
        <v>0</v>
      </c>
      <c r="N54" s="3">
        <f t="shared" si="32"/>
        <v>0</v>
      </c>
      <c r="O54" s="3">
        <f t="shared" si="32"/>
        <v>0</v>
      </c>
      <c r="P54" s="3">
        <f t="shared" si="32"/>
        <v>0</v>
      </c>
      <c r="Q54" s="3">
        <f t="shared" si="2"/>
        <v>0</v>
      </c>
      <c r="R54" s="23">
        <f t="shared" si="3"/>
        <v>-27866623.29</v>
      </c>
    </row>
    <row r="55" spans="1:18" s="15" customFormat="1" ht="18" hidden="1" outlineLevel="1">
      <c r="A55" s="25"/>
      <c r="B55" s="33">
        <v>2050</v>
      </c>
      <c r="C55" s="29" t="s">
        <v>84</v>
      </c>
      <c r="D55" s="3">
        <f>_xlfn.IFERROR(2000842.91,0)</f>
        <v>2000842.91</v>
      </c>
      <c r="E55" s="3">
        <f t="shared" si="32"/>
        <v>0</v>
      </c>
      <c r="F55" s="3">
        <f t="shared" si="32"/>
        <v>0</v>
      </c>
      <c r="G55" s="3">
        <f t="shared" si="32"/>
        <v>0</v>
      </c>
      <c r="H55" s="3">
        <f t="shared" si="32"/>
        <v>0</v>
      </c>
      <c r="I55" s="3">
        <f t="shared" si="32"/>
        <v>0</v>
      </c>
      <c r="J55" s="3">
        <f t="shared" si="32"/>
        <v>0</v>
      </c>
      <c r="K55" s="3">
        <f t="shared" si="32"/>
        <v>0</v>
      </c>
      <c r="L55" s="3">
        <f t="shared" si="32"/>
        <v>0</v>
      </c>
      <c r="M55" s="3">
        <f t="shared" si="32"/>
        <v>0</v>
      </c>
      <c r="N55" s="3">
        <f t="shared" si="32"/>
        <v>0</v>
      </c>
      <c r="O55" s="3">
        <f t="shared" si="32"/>
        <v>0</v>
      </c>
      <c r="P55" s="3">
        <f t="shared" si="32"/>
        <v>0</v>
      </c>
      <c r="Q55" s="3">
        <f t="shared" si="2"/>
        <v>0</v>
      </c>
      <c r="R55" s="23">
        <f t="shared" si="3"/>
        <v>2000842.91</v>
      </c>
    </row>
    <row r="56" spans="1:18" s="15" customFormat="1" ht="18" hidden="1" outlineLevel="1">
      <c r="A56" s="25"/>
      <c r="B56" s="33">
        <v>2120</v>
      </c>
      <c r="C56" s="29" t="s">
        <v>15</v>
      </c>
      <c r="D56" s="3">
        <f>_xlfn.IFERROR(0,0)</f>
        <v>0</v>
      </c>
      <c r="E56" s="3">
        <f t="shared" si="32"/>
        <v>0</v>
      </c>
      <c r="F56" s="3">
        <f t="shared" si="32"/>
        <v>0</v>
      </c>
      <c r="G56" s="3">
        <f t="shared" si="32"/>
        <v>0</v>
      </c>
      <c r="H56" s="3">
        <f t="shared" si="32"/>
        <v>0</v>
      </c>
      <c r="I56" s="3">
        <f t="shared" si="32"/>
        <v>0</v>
      </c>
      <c r="J56" s="3">
        <f t="shared" si="32"/>
        <v>0</v>
      </c>
      <c r="K56" s="3">
        <f t="shared" si="32"/>
        <v>0</v>
      </c>
      <c r="L56" s="3">
        <f t="shared" si="32"/>
        <v>0</v>
      </c>
      <c r="M56" s="3">
        <f t="shared" si="32"/>
        <v>0</v>
      </c>
      <c r="N56" s="3">
        <f t="shared" si="32"/>
        <v>0</v>
      </c>
      <c r="O56" s="3">
        <f t="shared" si="32"/>
        <v>0</v>
      </c>
      <c r="P56" s="3">
        <f t="shared" si="32"/>
        <v>0</v>
      </c>
      <c r="Q56" s="3">
        <f t="shared" si="2"/>
        <v>0</v>
      </c>
      <c r="R56" s="23">
        <f t="shared" si="3"/>
        <v>0</v>
      </c>
    </row>
    <row r="57" spans="1:18" s="15" customFormat="1" ht="18" hidden="1" outlineLevel="1">
      <c r="A57" s="25"/>
      <c r="B57" s="33">
        <v>2260</v>
      </c>
      <c r="C57" s="29" t="s">
        <v>90</v>
      </c>
      <c r="D57" s="3">
        <f>_xlfn.IFERROR(-4862503,0)</f>
        <v>-4862503</v>
      </c>
      <c r="E57" s="3">
        <f t="shared" si="32"/>
        <v>0</v>
      </c>
      <c r="F57" s="3">
        <f t="shared" si="32"/>
        <v>0</v>
      </c>
      <c r="G57" s="3">
        <f t="shared" si="32"/>
        <v>0</v>
      </c>
      <c r="H57" s="3">
        <f t="shared" si="32"/>
        <v>0</v>
      </c>
      <c r="I57" s="3">
        <f t="shared" si="32"/>
        <v>0</v>
      </c>
      <c r="J57" s="3">
        <f t="shared" si="32"/>
        <v>0</v>
      </c>
      <c r="K57" s="3">
        <f t="shared" si="32"/>
        <v>0</v>
      </c>
      <c r="L57" s="3">
        <f t="shared" si="32"/>
        <v>0</v>
      </c>
      <c r="M57" s="3">
        <f t="shared" si="32"/>
        <v>0</v>
      </c>
      <c r="N57" s="3">
        <f t="shared" si="32"/>
        <v>0</v>
      </c>
      <c r="O57" s="3">
        <f t="shared" si="32"/>
        <v>0</v>
      </c>
      <c r="P57" s="3">
        <f t="shared" si="32"/>
        <v>0</v>
      </c>
      <c r="Q57" s="3">
        <f t="shared" si="2"/>
        <v>0</v>
      </c>
      <c r="R57" s="23">
        <f t="shared" si="3"/>
        <v>-4862503</v>
      </c>
    </row>
    <row r="58" spans="1:18" s="15" customFormat="1" ht="18" hidden="1" outlineLevel="1">
      <c r="A58" s="25"/>
      <c r="B58" s="33">
        <v>2410</v>
      </c>
      <c r="C58" s="29" t="s">
        <v>99</v>
      </c>
      <c r="D58" s="3">
        <f>_xlfn.IFERROR(-250539.92,0)</f>
        <v>-250539.92</v>
      </c>
      <c r="E58" s="3">
        <f>_xlfn.IFERROR(-4103.67,0)</f>
        <v>-4103.67</v>
      </c>
      <c r="F58" s="3">
        <f>_xlfn.IFERROR(-120661.69,0)</f>
        <v>-120661.69</v>
      </c>
      <c r="G58" s="3">
        <f>_xlfn.IFERROR(104059.88,0)</f>
        <v>104059.88</v>
      </c>
      <c r="H58" s="3">
        <f>_xlfn.IFERROR(-16293.3,0)</f>
        <v>-16293.3</v>
      </c>
      <c r="I58" s="3">
        <f>_xlfn.IFERROR(87008.1,0)</f>
        <v>87008.1</v>
      </c>
      <c r="J58" s="3">
        <f>_xlfn.IFERROR(-21034.26,0)</f>
        <v>-21034.26</v>
      </c>
      <c r="K58" s="3">
        <f>_xlfn.IFERROR(-91627.01,0)</f>
        <v>-91627.01</v>
      </c>
      <c r="L58" s="3">
        <f>_xlfn.IFERROR(87072.21,0)</f>
        <v>87072.21</v>
      </c>
      <c r="M58" s="3">
        <f>_xlfn.IFERROR(-148412.12,0)</f>
        <v>-148412.12</v>
      </c>
      <c r="N58" s="3">
        <f>_xlfn.IFERROR(-19414.94,0)</f>
        <v>-19414.94</v>
      </c>
      <c r="O58" s="3">
        <f>_xlfn.IFERROR(111983.07,0)</f>
        <v>111983.07</v>
      </c>
      <c r="P58" s="3">
        <f>_xlfn.IFERROR(-133371.78,0)</f>
        <v>-133371.78</v>
      </c>
      <c r="Q58" s="3">
        <f t="shared" si="2"/>
        <v>-164795.50999999995</v>
      </c>
      <c r="R58" s="23">
        <f t="shared" si="3"/>
        <v>-415335.42999999993</v>
      </c>
    </row>
    <row r="59" spans="1:18" s="15" customFormat="1" ht="18" hidden="1" outlineLevel="1">
      <c r="A59" s="25"/>
      <c r="B59" s="33">
        <v>2411</v>
      </c>
      <c r="C59" s="29" t="s">
        <v>30</v>
      </c>
      <c r="D59" s="3">
        <f>_xlfn.IFERROR(30000,0)</f>
        <v>30000</v>
      </c>
      <c r="E59" s="3">
        <f aca="true" t="shared" si="33" ref="E59:E61">_xlfn.IFERROR(0,0)</f>
        <v>0</v>
      </c>
      <c r="F59" s="3">
        <f aca="true" t="shared" si="34" ref="F59:P60">_xlfn.IFERROR(0,0)</f>
        <v>0</v>
      </c>
      <c r="G59" s="3">
        <f t="shared" si="34"/>
        <v>0</v>
      </c>
      <c r="H59" s="3">
        <f t="shared" si="34"/>
        <v>0</v>
      </c>
      <c r="I59" s="3">
        <f t="shared" si="34"/>
        <v>0</v>
      </c>
      <c r="J59" s="3">
        <f t="shared" si="34"/>
        <v>0</v>
      </c>
      <c r="K59" s="3">
        <f t="shared" si="34"/>
        <v>0</v>
      </c>
      <c r="L59" s="3">
        <f t="shared" si="34"/>
        <v>0</v>
      </c>
      <c r="M59" s="3">
        <f t="shared" si="34"/>
        <v>0</v>
      </c>
      <c r="N59" s="3">
        <f t="shared" si="34"/>
        <v>0</v>
      </c>
      <c r="O59" s="3">
        <f t="shared" si="34"/>
        <v>0</v>
      </c>
      <c r="P59" s="3">
        <f t="shared" si="34"/>
        <v>0</v>
      </c>
      <c r="Q59" s="3">
        <f t="shared" si="2"/>
        <v>0</v>
      </c>
      <c r="R59" s="23">
        <f t="shared" si="3"/>
        <v>30000</v>
      </c>
    </row>
    <row r="60" spans="1:18" s="15" customFormat="1" ht="18" hidden="1" outlineLevel="1">
      <c r="A60" s="25"/>
      <c r="B60" s="33">
        <v>2460</v>
      </c>
      <c r="C60" s="29" t="s">
        <v>3</v>
      </c>
      <c r="D60" s="3">
        <f>_xlfn.IFERROR(-30000,0)</f>
        <v>-30000</v>
      </c>
      <c r="E60" s="3">
        <f t="shared" si="33"/>
        <v>0</v>
      </c>
      <c r="F60" s="3">
        <f t="shared" si="34"/>
        <v>0</v>
      </c>
      <c r="G60" s="3">
        <f t="shared" si="34"/>
        <v>0</v>
      </c>
      <c r="H60" s="3">
        <f t="shared" si="34"/>
        <v>0</v>
      </c>
      <c r="I60" s="3">
        <f t="shared" si="34"/>
        <v>0</v>
      </c>
      <c r="J60" s="3">
        <f t="shared" si="34"/>
        <v>0</v>
      </c>
      <c r="K60" s="3">
        <f t="shared" si="34"/>
        <v>0</v>
      </c>
      <c r="L60" s="3">
        <f t="shared" si="34"/>
        <v>0</v>
      </c>
      <c r="M60" s="3">
        <f t="shared" si="34"/>
        <v>0</v>
      </c>
      <c r="N60" s="3">
        <f t="shared" si="34"/>
        <v>0</v>
      </c>
      <c r="O60" s="3">
        <f t="shared" si="34"/>
        <v>0</v>
      </c>
      <c r="P60" s="3">
        <f t="shared" si="34"/>
        <v>0</v>
      </c>
      <c r="Q60" s="3">
        <f t="shared" si="2"/>
        <v>0</v>
      </c>
      <c r="R60" s="23">
        <f t="shared" si="3"/>
        <v>-30000</v>
      </c>
    </row>
    <row r="61" spans="1:18" s="15" customFormat="1" ht="18" hidden="1" outlineLevel="1">
      <c r="A61" s="25"/>
      <c r="B61" s="33">
        <v>2500</v>
      </c>
      <c r="C61" s="29" t="s">
        <v>134</v>
      </c>
      <c r="D61" s="3">
        <f>_xlfn.IFERROR(-126385,0)</f>
        <v>-126385</v>
      </c>
      <c r="E61" s="3">
        <f t="shared" si="33"/>
        <v>0</v>
      </c>
      <c r="F61" s="3">
        <f>_xlfn.IFERROR(46036,0)</f>
        <v>46036</v>
      </c>
      <c r="G61" s="3">
        <f>_xlfn.IFERROR(0,0)</f>
        <v>0</v>
      </c>
      <c r="H61" s="3">
        <f>_xlfn.IFERROR(46036,0)</f>
        <v>46036</v>
      </c>
      <c r="I61" s="3">
        <f aca="true" t="shared" si="35" ref="I61:M61">_xlfn.IFERROR(0,0)</f>
        <v>0</v>
      </c>
      <c r="J61" s="3">
        <f t="shared" si="35"/>
        <v>0</v>
      </c>
      <c r="K61" s="3">
        <f t="shared" si="35"/>
        <v>0</v>
      </c>
      <c r="L61" s="3">
        <f t="shared" si="35"/>
        <v>0</v>
      </c>
      <c r="M61" s="3">
        <f t="shared" si="35"/>
        <v>0</v>
      </c>
      <c r="N61" s="3">
        <f>_xlfn.IFERROR(34313,0)</f>
        <v>34313</v>
      </c>
      <c r="O61" s="3">
        <f aca="true" t="shared" si="36" ref="O61:P61">_xlfn.IFERROR(0,0)</f>
        <v>0</v>
      </c>
      <c r="P61" s="3">
        <f t="shared" si="36"/>
        <v>0</v>
      </c>
      <c r="Q61" s="3">
        <f t="shared" si="2"/>
        <v>126385</v>
      </c>
      <c r="R61" s="23">
        <f t="shared" si="3"/>
        <v>0</v>
      </c>
    </row>
    <row r="62" spans="1:18" s="15" customFormat="1" ht="18" hidden="1" outlineLevel="1">
      <c r="A62" s="25"/>
      <c r="B62" s="33">
        <v>2610</v>
      </c>
      <c r="C62" s="29" t="s">
        <v>16</v>
      </c>
      <c r="D62" s="3">
        <f>_xlfn.IFERROR(-164323,0)</f>
        <v>-164323</v>
      </c>
      <c r="E62" s="3">
        <f>_xlfn.IFERROR(-51968,0)</f>
        <v>-51968</v>
      </c>
      <c r="F62" s="3">
        <f>_xlfn.IFERROR(-107526,0)</f>
        <v>-107526</v>
      </c>
      <c r="G62" s="3">
        <f>_xlfn.IFERROR(107353,0)</f>
        <v>107353</v>
      </c>
      <c r="H62" s="3">
        <f>_xlfn.IFERROR(-109409,0)</f>
        <v>-109409</v>
      </c>
      <c r="I62" s="3">
        <f>_xlfn.IFERROR(160475,0)</f>
        <v>160475</v>
      </c>
      <c r="J62" s="3">
        <f>_xlfn.IFERROR(-105210,0)</f>
        <v>-105210</v>
      </c>
      <c r="K62" s="3">
        <f>_xlfn.IFERROR(54890,0)</f>
        <v>54890</v>
      </c>
      <c r="L62" s="3">
        <f>_xlfn.IFERROR(-105720,0)</f>
        <v>-105720</v>
      </c>
      <c r="M62" s="3">
        <f>_xlfn.IFERROR(90869,0)</f>
        <v>90869</v>
      </c>
      <c r="N62" s="3">
        <f>_xlfn.IFERROR(-129469,0)</f>
        <v>-129469</v>
      </c>
      <c r="O62" s="3">
        <f>_xlfn.IFERROR(162492,0)</f>
        <v>162492</v>
      </c>
      <c r="P62" s="3">
        <f aca="true" t="shared" si="37" ref="P62:P67">_xlfn.IFERROR(0,0)</f>
        <v>0</v>
      </c>
      <c r="Q62" s="3">
        <f t="shared" si="2"/>
        <v>-33223</v>
      </c>
      <c r="R62" s="23">
        <f t="shared" si="3"/>
        <v>-197546</v>
      </c>
    </row>
    <row r="63" spans="1:18" s="15" customFormat="1" ht="18" hidden="1" outlineLevel="1">
      <c r="A63" s="25"/>
      <c r="B63" s="33">
        <v>2630</v>
      </c>
      <c r="C63" s="29" t="s">
        <v>4</v>
      </c>
      <c r="D63" s="3">
        <f aca="true" t="shared" si="38" ref="D63:O63">_xlfn.IFERROR(0,0)</f>
        <v>0</v>
      </c>
      <c r="E63" s="3">
        <f t="shared" si="38"/>
        <v>0</v>
      </c>
      <c r="F63" s="3">
        <f t="shared" si="38"/>
        <v>0</v>
      </c>
      <c r="G63" s="3">
        <f t="shared" si="38"/>
        <v>0</v>
      </c>
      <c r="H63" s="3">
        <f t="shared" si="38"/>
        <v>0</v>
      </c>
      <c r="I63" s="3">
        <f t="shared" si="38"/>
        <v>0</v>
      </c>
      <c r="J63" s="3">
        <f t="shared" si="38"/>
        <v>0</v>
      </c>
      <c r="K63" s="3">
        <f t="shared" si="38"/>
        <v>0</v>
      </c>
      <c r="L63" s="3">
        <f t="shared" si="38"/>
        <v>0</v>
      </c>
      <c r="M63" s="3">
        <f t="shared" si="38"/>
        <v>0</v>
      </c>
      <c r="N63" s="3">
        <f t="shared" si="38"/>
        <v>0</v>
      </c>
      <c r="O63" s="3">
        <f t="shared" si="38"/>
        <v>0</v>
      </c>
      <c r="P63" s="3">
        <f t="shared" si="37"/>
        <v>0</v>
      </c>
      <c r="Q63" s="3">
        <f t="shared" si="2"/>
        <v>0</v>
      </c>
      <c r="R63" s="23">
        <f t="shared" si="3"/>
        <v>0</v>
      </c>
    </row>
    <row r="64" spans="1:18" s="15" customFormat="1" ht="18" hidden="1" outlineLevel="1">
      <c r="A64" s="25"/>
      <c r="B64" s="33">
        <v>2650</v>
      </c>
      <c r="C64" s="29" t="s">
        <v>85</v>
      </c>
      <c r="D64" s="3">
        <f>_xlfn.IFERROR(-8229,0)</f>
        <v>-8229</v>
      </c>
      <c r="E64" s="3">
        <f>_xlfn.IFERROR(7020,0)</f>
        <v>7020</v>
      </c>
      <c r="F64" s="3">
        <f aca="true" t="shared" si="39" ref="F64:F67">_xlfn.IFERROR(0,0)</f>
        <v>0</v>
      </c>
      <c r="G64" s="3">
        <f>_xlfn.IFERROR(1209,0)</f>
        <v>1209</v>
      </c>
      <c r="H64" s="3">
        <f aca="true" t="shared" si="40" ref="H64:L67">_xlfn.IFERROR(0,0)</f>
        <v>0</v>
      </c>
      <c r="I64" s="3">
        <f t="shared" si="40"/>
        <v>0</v>
      </c>
      <c r="J64" s="3">
        <f t="shared" si="40"/>
        <v>0</v>
      </c>
      <c r="K64" s="3">
        <f t="shared" si="40"/>
        <v>0</v>
      </c>
      <c r="L64" s="3">
        <f t="shared" si="40"/>
        <v>0</v>
      </c>
      <c r="M64" s="3">
        <f aca="true" t="shared" si="41" ref="M64:O64">_xlfn.IFERROR(0,0)</f>
        <v>0</v>
      </c>
      <c r="N64" s="3">
        <f t="shared" si="41"/>
        <v>0</v>
      </c>
      <c r="O64" s="3">
        <f t="shared" si="41"/>
        <v>0</v>
      </c>
      <c r="P64" s="3">
        <f t="shared" si="37"/>
        <v>0</v>
      </c>
      <c r="Q64" s="3">
        <f t="shared" si="2"/>
        <v>8229</v>
      </c>
      <c r="R64" s="23">
        <f t="shared" si="3"/>
        <v>0</v>
      </c>
    </row>
    <row r="65" spans="1:18" s="15" customFormat="1" ht="18" hidden="1" outlineLevel="1">
      <c r="A65" s="25"/>
      <c r="B65" s="33">
        <v>2660</v>
      </c>
      <c r="C65" s="29" t="s">
        <v>115</v>
      </c>
      <c r="D65" s="3">
        <f aca="true" t="shared" si="42" ref="D65:D73">_xlfn.IFERROR(0,0)</f>
        <v>0</v>
      </c>
      <c r="E65" s="3">
        <f aca="true" t="shared" si="43" ref="E65:E67">_xlfn.IFERROR(0,0)</f>
        <v>0</v>
      </c>
      <c r="F65" s="3">
        <f t="shared" si="39"/>
        <v>0</v>
      </c>
      <c r="G65" s="3">
        <f aca="true" t="shared" si="44" ref="G65:G67">_xlfn.IFERROR(0,0)</f>
        <v>0</v>
      </c>
      <c r="H65" s="3">
        <f t="shared" si="40"/>
        <v>0</v>
      </c>
      <c r="I65" s="3">
        <f t="shared" si="40"/>
        <v>0</v>
      </c>
      <c r="J65" s="3">
        <f t="shared" si="40"/>
        <v>0</v>
      </c>
      <c r="K65" s="3">
        <f t="shared" si="40"/>
        <v>0</v>
      </c>
      <c r="L65" s="3">
        <f t="shared" si="40"/>
        <v>0</v>
      </c>
      <c r="M65" s="3">
        <f>_xlfn.IFERROR(-673.98,0)</f>
        <v>-673.98</v>
      </c>
      <c r="N65" s="3">
        <f>_xlfn.IFERROR(673.98,0)</f>
        <v>673.98</v>
      </c>
      <c r="O65" s="3">
        <f aca="true" t="shared" si="45" ref="O65:O67">_xlfn.IFERROR(0,0)</f>
        <v>0</v>
      </c>
      <c r="P65" s="3">
        <f t="shared" si="37"/>
        <v>0</v>
      </c>
      <c r="Q65" s="3">
        <f t="shared" si="2"/>
        <v>0</v>
      </c>
      <c r="R65" s="23">
        <f t="shared" si="3"/>
        <v>0</v>
      </c>
    </row>
    <row r="66" spans="1:18" s="15" customFormat="1" ht="18" hidden="1" outlineLevel="1">
      <c r="A66" s="25"/>
      <c r="B66" s="33">
        <v>2670</v>
      </c>
      <c r="C66" s="29" t="s">
        <v>116</v>
      </c>
      <c r="D66" s="3">
        <f t="shared" si="42"/>
        <v>0</v>
      </c>
      <c r="E66" s="3">
        <f t="shared" si="43"/>
        <v>0</v>
      </c>
      <c r="F66" s="3">
        <f t="shared" si="39"/>
        <v>0</v>
      </c>
      <c r="G66" s="3">
        <f t="shared" si="44"/>
        <v>0</v>
      </c>
      <c r="H66" s="3">
        <f t="shared" si="40"/>
        <v>0</v>
      </c>
      <c r="I66" s="3">
        <f t="shared" si="40"/>
        <v>0</v>
      </c>
      <c r="J66" s="3">
        <f t="shared" si="40"/>
        <v>0</v>
      </c>
      <c r="K66" s="3">
        <f t="shared" si="40"/>
        <v>0</v>
      </c>
      <c r="L66" s="3">
        <f t="shared" si="40"/>
        <v>0</v>
      </c>
      <c r="M66" s="3">
        <f aca="true" t="shared" si="46" ref="M66:N67">_xlfn.IFERROR(0,0)</f>
        <v>0</v>
      </c>
      <c r="N66" s="3">
        <f t="shared" si="46"/>
        <v>0</v>
      </c>
      <c r="O66" s="3">
        <f t="shared" si="45"/>
        <v>0</v>
      </c>
      <c r="P66" s="3">
        <f t="shared" si="37"/>
        <v>0</v>
      </c>
      <c r="Q66" s="3">
        <f t="shared" si="2"/>
        <v>0</v>
      </c>
      <c r="R66" s="23">
        <f t="shared" si="3"/>
        <v>0</v>
      </c>
    </row>
    <row r="67" spans="1:18" s="15" customFormat="1" ht="18" hidden="1" outlineLevel="1">
      <c r="A67" s="25"/>
      <c r="B67" s="33">
        <v>2690</v>
      </c>
      <c r="C67" s="29" t="s">
        <v>17</v>
      </c>
      <c r="D67" s="3">
        <f t="shared" si="42"/>
        <v>0</v>
      </c>
      <c r="E67" s="3">
        <f t="shared" si="43"/>
        <v>0</v>
      </c>
      <c r="F67" s="3">
        <f t="shared" si="39"/>
        <v>0</v>
      </c>
      <c r="G67" s="3">
        <f t="shared" si="44"/>
        <v>0</v>
      </c>
      <c r="H67" s="3">
        <f t="shared" si="40"/>
        <v>0</v>
      </c>
      <c r="I67" s="3">
        <f t="shared" si="40"/>
        <v>0</v>
      </c>
      <c r="J67" s="3">
        <f t="shared" si="40"/>
        <v>0</v>
      </c>
      <c r="K67" s="3">
        <f t="shared" si="40"/>
        <v>0</v>
      </c>
      <c r="L67" s="3">
        <f t="shared" si="40"/>
        <v>0</v>
      </c>
      <c r="M67" s="3">
        <f t="shared" si="46"/>
        <v>0</v>
      </c>
      <c r="N67" s="3">
        <f t="shared" si="46"/>
        <v>0</v>
      </c>
      <c r="O67" s="3">
        <f t="shared" si="45"/>
        <v>0</v>
      </c>
      <c r="P67" s="3">
        <f t="shared" si="37"/>
        <v>0</v>
      </c>
      <c r="Q67" s="3">
        <f t="shared" si="2"/>
        <v>0</v>
      </c>
      <c r="R67" s="23">
        <f t="shared" si="3"/>
        <v>0</v>
      </c>
    </row>
    <row r="68" spans="1:18" s="15" customFormat="1" ht="18" hidden="1" outlineLevel="1">
      <c r="A68" s="25"/>
      <c r="B68" s="33">
        <v>2693</v>
      </c>
      <c r="C68" s="29" t="s">
        <v>117</v>
      </c>
      <c r="D68" s="3">
        <f t="shared" si="42"/>
        <v>0</v>
      </c>
      <c r="E68" s="3">
        <f>_xlfn.IFERROR(-2800,0)</f>
        <v>-2800</v>
      </c>
      <c r="F68" s="3">
        <f aca="true" t="shared" si="47" ref="F68:I68">_xlfn.IFERROR(-1400,0)</f>
        <v>-1400</v>
      </c>
      <c r="G68" s="3">
        <f t="shared" si="47"/>
        <v>-1400</v>
      </c>
      <c r="H68" s="3">
        <f t="shared" si="47"/>
        <v>-1400</v>
      </c>
      <c r="I68" s="3">
        <f t="shared" si="47"/>
        <v>-1400</v>
      </c>
      <c r="J68" s="3">
        <f>_xlfn.IFERROR(0,0)</f>
        <v>0</v>
      </c>
      <c r="K68" s="3">
        <f aca="true" t="shared" si="48" ref="K68:O68">_xlfn.IFERROR(-1400,0)</f>
        <v>-1400</v>
      </c>
      <c r="L68" s="3">
        <f t="shared" si="48"/>
        <v>-1400</v>
      </c>
      <c r="M68" s="3">
        <f t="shared" si="48"/>
        <v>-1400</v>
      </c>
      <c r="N68" s="3">
        <f t="shared" si="48"/>
        <v>-1400</v>
      </c>
      <c r="O68" s="3">
        <f t="shared" si="48"/>
        <v>-1400</v>
      </c>
      <c r="P68" s="3">
        <f>_xlfn.IFERROR(15400,0)</f>
        <v>15400</v>
      </c>
      <c r="Q68" s="3">
        <f t="shared" si="2"/>
        <v>0</v>
      </c>
      <c r="R68" s="23">
        <f t="shared" si="3"/>
        <v>0</v>
      </c>
    </row>
    <row r="69" spans="1:18" s="15" customFormat="1" ht="18" hidden="1" outlineLevel="1">
      <c r="A69" s="25"/>
      <c r="B69" s="33">
        <v>2700</v>
      </c>
      <c r="C69" s="29" t="s">
        <v>38</v>
      </c>
      <c r="D69" s="3">
        <f t="shared" si="42"/>
        <v>0</v>
      </c>
      <c r="E69" s="3">
        <f>_xlfn.IFERROR(-202981,0)</f>
        <v>-202981</v>
      </c>
      <c r="F69" s="3">
        <f>_xlfn.IFERROR(202981,0)</f>
        <v>202981</v>
      </c>
      <c r="G69" s="3">
        <f>_xlfn.IFERROR(-219653.5,0)</f>
        <v>-219653.5</v>
      </c>
      <c r="H69" s="3">
        <f>_xlfn.IFERROR(219653.5,0)</f>
        <v>219653.5</v>
      </c>
      <c r="I69" s="3">
        <f>_xlfn.IFERROR(-152030.25,0)</f>
        <v>-152030.25</v>
      </c>
      <c r="J69" s="3">
        <f>_xlfn.IFERROR(152030.25,0)</f>
        <v>152030.25</v>
      </c>
      <c r="K69" s="3">
        <f>_xlfn.IFERROR(-218891,0)</f>
        <v>-218891</v>
      </c>
      <c r="L69" s="3">
        <f>_xlfn.IFERROR(218891,0)</f>
        <v>218891</v>
      </c>
      <c r="M69" s="3">
        <f>_xlfn.IFERROR(-261059.25,0)</f>
        <v>-261059.25</v>
      </c>
      <c r="N69" s="3">
        <f>_xlfn.IFERROR(261059.25,0)</f>
        <v>261059.25</v>
      </c>
      <c r="O69" s="3">
        <f>_xlfn.IFERROR(-218321.5,0)</f>
        <v>-218321.5</v>
      </c>
      <c r="P69" s="3">
        <f>_xlfn.IFERROR(218321.5,0)</f>
        <v>218321.5</v>
      </c>
      <c r="Q69" s="3">
        <f t="shared" si="2"/>
        <v>0</v>
      </c>
      <c r="R69" s="23">
        <f t="shared" si="3"/>
        <v>0</v>
      </c>
    </row>
    <row r="70" spans="1:18" s="15" customFormat="1" ht="18" hidden="1" outlineLevel="1">
      <c r="A70" s="25"/>
      <c r="B70" s="33">
        <v>2710</v>
      </c>
      <c r="C70" s="29" t="s">
        <v>135</v>
      </c>
      <c r="D70" s="3">
        <f t="shared" si="42"/>
        <v>0</v>
      </c>
      <c r="E70" s="3">
        <f>_xlfn.IFERROR(72684.69,0)</f>
        <v>72684.69</v>
      </c>
      <c r="F70" s="3">
        <f>_xlfn.IFERROR(-72684.69,0)</f>
        <v>-72684.69</v>
      </c>
      <c r="G70" s="3">
        <f>_xlfn.IFERROR(88919.66,0)</f>
        <v>88919.66</v>
      </c>
      <c r="H70" s="3">
        <f>_xlfn.IFERROR(-88919.66,0)</f>
        <v>-88919.66</v>
      </c>
      <c r="I70" s="3">
        <f>_xlfn.IFERROR(39682.56,0)</f>
        <v>39682.56</v>
      </c>
      <c r="J70" s="3">
        <f>_xlfn.IFERROR(-39682.56,0)</f>
        <v>-39682.56</v>
      </c>
      <c r="K70" s="3">
        <f>_xlfn.IFERROR(79701.21,0)</f>
        <v>79701.21</v>
      </c>
      <c r="L70" s="3">
        <f>_xlfn.IFERROR(-79701.21,0)</f>
        <v>-79701.21</v>
      </c>
      <c r="M70" s="3">
        <f>_xlfn.IFERROR(98985.07,0)</f>
        <v>98985.07</v>
      </c>
      <c r="N70" s="3">
        <f>_xlfn.IFERROR(-98985.07,0)</f>
        <v>-98985.07</v>
      </c>
      <c r="O70" s="3">
        <f>_xlfn.IFERROR(58153.95,0)</f>
        <v>58153.95</v>
      </c>
      <c r="P70" s="3">
        <f>_xlfn.IFERROR(-58153.95,0)</f>
        <v>-58153.95</v>
      </c>
      <c r="Q70" s="3">
        <f t="shared" si="2"/>
        <v>0</v>
      </c>
      <c r="R70" s="23">
        <f t="shared" si="3"/>
        <v>0</v>
      </c>
    </row>
    <row r="71" spans="1:18" s="15" customFormat="1" ht="18" hidden="1" outlineLevel="1">
      <c r="A71" s="25"/>
      <c r="B71" s="33">
        <v>2711</v>
      </c>
      <c r="C71" s="29" t="s">
        <v>91</v>
      </c>
      <c r="D71" s="3">
        <f t="shared" si="42"/>
        <v>0</v>
      </c>
      <c r="E71" s="3">
        <f aca="true" t="shared" si="49" ref="E71:E74">_xlfn.IFERROR(0,0)</f>
        <v>0</v>
      </c>
      <c r="F71" s="3">
        <f aca="true" t="shared" si="50" ref="F71:F72">_xlfn.IFERROR(0,0)</f>
        <v>0</v>
      </c>
      <c r="G71" s="3">
        <f aca="true" t="shared" si="51" ref="G71:P71">_xlfn.IFERROR(0,0)</f>
        <v>0</v>
      </c>
      <c r="H71" s="3">
        <f t="shared" si="51"/>
        <v>0</v>
      </c>
      <c r="I71" s="3">
        <f t="shared" si="51"/>
        <v>0</v>
      </c>
      <c r="J71" s="3">
        <f t="shared" si="51"/>
        <v>0</v>
      </c>
      <c r="K71" s="3">
        <f t="shared" si="51"/>
        <v>0</v>
      </c>
      <c r="L71" s="3">
        <f t="shared" si="51"/>
        <v>0</v>
      </c>
      <c r="M71" s="3">
        <f t="shared" si="51"/>
        <v>0</v>
      </c>
      <c r="N71" s="3">
        <f t="shared" si="51"/>
        <v>0</v>
      </c>
      <c r="O71" s="3">
        <f t="shared" si="51"/>
        <v>0</v>
      </c>
      <c r="P71" s="3">
        <f t="shared" si="51"/>
        <v>0</v>
      </c>
      <c r="Q71" s="3">
        <f t="shared" si="2"/>
        <v>0</v>
      </c>
      <c r="R71" s="23">
        <f t="shared" si="3"/>
        <v>0</v>
      </c>
    </row>
    <row r="72" spans="1:18" s="15" customFormat="1" ht="18" hidden="1" outlineLevel="1">
      <c r="A72" s="25"/>
      <c r="B72" s="33">
        <v>2713</v>
      </c>
      <c r="C72" s="29" t="s">
        <v>39</v>
      </c>
      <c r="D72" s="3">
        <f t="shared" si="42"/>
        <v>0</v>
      </c>
      <c r="E72" s="3">
        <f t="shared" si="49"/>
        <v>0</v>
      </c>
      <c r="F72" s="3">
        <f t="shared" si="50"/>
        <v>0</v>
      </c>
      <c r="G72" s="3">
        <f>_xlfn.IFERROR(2934,0)</f>
        <v>2934</v>
      </c>
      <c r="H72" s="3">
        <f>_xlfn.IFERROR(-2934,0)</f>
        <v>-2934</v>
      </c>
      <c r="I72" s="3">
        <f aca="true" t="shared" si="52" ref="I72:I74">_xlfn.IFERROR(0,0)</f>
        <v>0</v>
      </c>
      <c r="J72" s="3">
        <f>_xlfn.IFERROR(0,0)</f>
        <v>0</v>
      </c>
      <c r="K72" s="3">
        <f>_xlfn.IFERROR(90,0)</f>
        <v>90</v>
      </c>
      <c r="L72" s="3">
        <f>_xlfn.IFERROR(-90,0)</f>
        <v>-90</v>
      </c>
      <c r="M72" s="3">
        <f>_xlfn.IFERROR(2934,0)</f>
        <v>2934</v>
      </c>
      <c r="N72" s="3">
        <f>_xlfn.IFERROR(-2934,0)</f>
        <v>-2934</v>
      </c>
      <c r="O72" s="3">
        <f aca="true" t="shared" si="53" ref="O72:O74">_xlfn.IFERROR(0,0)</f>
        <v>0</v>
      </c>
      <c r="P72" s="3">
        <f>_xlfn.IFERROR(0,0)</f>
        <v>0</v>
      </c>
      <c r="Q72" s="3">
        <f t="shared" si="2"/>
        <v>0</v>
      </c>
      <c r="R72" s="23">
        <f t="shared" si="3"/>
        <v>0</v>
      </c>
    </row>
    <row r="73" spans="1:18" s="15" customFormat="1" ht="18" hidden="1" outlineLevel="1">
      <c r="A73" s="25"/>
      <c r="B73" s="33">
        <v>2740</v>
      </c>
      <c r="C73" s="29" t="s">
        <v>5</v>
      </c>
      <c r="D73" s="3">
        <f t="shared" si="42"/>
        <v>0</v>
      </c>
      <c r="E73" s="3">
        <f t="shared" si="49"/>
        <v>0</v>
      </c>
      <c r="F73" s="3">
        <f>_xlfn.IFERROR(-267150,0)</f>
        <v>-267150</v>
      </c>
      <c r="G73" s="3">
        <f aca="true" t="shared" si="54" ref="G73:G74">_xlfn.IFERROR(0,0)</f>
        <v>0</v>
      </c>
      <c r="H73" s="3">
        <f>_xlfn.IFERROR(15008,0)</f>
        <v>15008</v>
      </c>
      <c r="I73" s="3">
        <f t="shared" si="52"/>
        <v>0</v>
      </c>
      <c r="J73" s="3">
        <f>_xlfn.IFERROR(18149,0)</f>
        <v>18149</v>
      </c>
      <c r="K73" s="3">
        <f aca="true" t="shared" si="55" ref="K73:K74">_xlfn.IFERROR(0,0)</f>
        <v>0</v>
      </c>
      <c r="L73" s="3">
        <f>_xlfn.IFERROR(-27034,0)</f>
        <v>-27034</v>
      </c>
      <c r="M73" s="3">
        <f aca="true" t="shared" si="56" ref="M73:M74">_xlfn.IFERROR(0,0)</f>
        <v>0</v>
      </c>
      <c r="N73" s="3">
        <f>_xlfn.IFERROR(-42866,0)</f>
        <v>-42866</v>
      </c>
      <c r="O73" s="3">
        <f t="shared" si="53"/>
        <v>0</v>
      </c>
      <c r="P73" s="3">
        <f>_xlfn.IFERROR(-45713,0)</f>
        <v>-45713</v>
      </c>
      <c r="Q73" s="3">
        <f t="shared" si="2"/>
        <v>-349606</v>
      </c>
      <c r="R73" s="23">
        <f t="shared" si="3"/>
        <v>-349606</v>
      </c>
    </row>
    <row r="74" spans="1:18" s="15" customFormat="1" ht="18" hidden="1" outlineLevel="1">
      <c r="A74" s="25"/>
      <c r="B74" s="33">
        <v>2750</v>
      </c>
      <c r="C74" s="29" t="s">
        <v>5</v>
      </c>
      <c r="D74" s="3">
        <f>_xlfn.IFERROR(-322958,0)</f>
        <v>-322958</v>
      </c>
      <c r="E74" s="3">
        <f t="shared" si="49"/>
        <v>0</v>
      </c>
      <c r="F74" s="3">
        <f>_xlfn.IFERROR(322958,0)</f>
        <v>322958</v>
      </c>
      <c r="G74" s="3">
        <f t="shared" si="54"/>
        <v>0</v>
      </c>
      <c r="H74" s="3">
        <f>_xlfn.IFERROR(0,0)</f>
        <v>0</v>
      </c>
      <c r="I74" s="3">
        <f t="shared" si="52"/>
        <v>0</v>
      </c>
      <c r="J74" s="3">
        <f>_xlfn.IFERROR(0,0)</f>
        <v>0</v>
      </c>
      <c r="K74" s="3">
        <f t="shared" si="55"/>
        <v>0</v>
      </c>
      <c r="L74" s="3">
        <f>_xlfn.IFERROR(0,0)</f>
        <v>0</v>
      </c>
      <c r="M74" s="3">
        <f t="shared" si="56"/>
        <v>0</v>
      </c>
      <c r="N74" s="3">
        <f>_xlfn.IFERROR(0,0)</f>
        <v>0</v>
      </c>
      <c r="O74" s="3">
        <f t="shared" si="53"/>
        <v>0</v>
      </c>
      <c r="P74" s="3">
        <f>_xlfn.IFERROR(0,0)</f>
        <v>0</v>
      </c>
      <c r="Q74" s="3">
        <f t="shared" si="2"/>
        <v>322958</v>
      </c>
      <c r="R74" s="23">
        <f t="shared" si="3"/>
        <v>0</v>
      </c>
    </row>
    <row r="75" spans="1:18" s="15" customFormat="1" ht="18" hidden="1" outlineLevel="1">
      <c r="A75" s="25"/>
      <c r="B75" s="33">
        <v>2780</v>
      </c>
      <c r="C75" s="29" t="s">
        <v>124</v>
      </c>
      <c r="D75" s="3">
        <f>_xlfn.IFERROR(-92198.78,0)</f>
        <v>-92198.78</v>
      </c>
      <c r="E75" s="3">
        <f>_xlfn.IFERROR(-6094.44,0)</f>
        <v>-6094.44</v>
      </c>
      <c r="F75" s="3">
        <f>_xlfn.IFERROR(-41397.57,0)</f>
        <v>-41397.57</v>
      </c>
      <c r="G75" s="3">
        <f>_xlfn.IFERROR(56398.09,0)</f>
        <v>56398.09</v>
      </c>
      <c r="H75" s="3">
        <f>_xlfn.IFERROR(-42067.37,0)</f>
        <v>-42067.37</v>
      </c>
      <c r="I75" s="3">
        <f>_xlfn.IFERROR(19675.03,0)</f>
        <v>19675.03</v>
      </c>
      <c r="J75" s="3">
        <f>_xlfn.IFERROR(-42245.9,0)</f>
        <v>-42245.9</v>
      </c>
      <c r="K75" s="3">
        <f>_xlfn.IFERROR(63215.79,0)</f>
        <v>63215.79</v>
      </c>
      <c r="L75" s="3">
        <f>_xlfn.IFERROR(-46099.78,0)</f>
        <v>-46099.78</v>
      </c>
      <c r="M75" s="3">
        <f>_xlfn.IFERROR(37325.34,0)</f>
        <v>37325.34</v>
      </c>
      <c r="N75" s="3">
        <f>_xlfn.IFERROR(-48862.61,0)</f>
        <v>-48862.61</v>
      </c>
      <c r="O75" s="3">
        <f>_xlfn.IFERROR(45892.46,0)</f>
        <v>45892.46</v>
      </c>
      <c r="P75" s="3">
        <f>_xlfn.IFERROR(-23528.77,0)</f>
        <v>-23528.77</v>
      </c>
      <c r="Q75" s="3">
        <f t="shared" si="2"/>
        <v>-27789.730000000014</v>
      </c>
      <c r="R75" s="23">
        <f t="shared" si="3"/>
        <v>-119988.51000000001</v>
      </c>
    </row>
    <row r="76" spans="1:18" s="15" customFormat="1" ht="18" hidden="1" outlineLevel="1">
      <c r="A76" s="25"/>
      <c r="B76" s="33">
        <v>2781</v>
      </c>
      <c r="C76" s="29" t="s">
        <v>118</v>
      </c>
      <c r="D76" s="3">
        <f>_xlfn.IFERROR(-60190.95,0)</f>
        <v>-60190.95</v>
      </c>
      <c r="E76" s="3">
        <f>_xlfn.IFERROR(-5248.35,0)</f>
        <v>-5248.35</v>
      </c>
      <c r="F76" s="3">
        <f>_xlfn.IFERROR(-5150.97,0)</f>
        <v>-5150.97</v>
      </c>
      <c r="G76" s="3">
        <f>_xlfn.IFERROR(-5210.68,0)</f>
        <v>-5210.68</v>
      </c>
      <c r="H76" s="3">
        <f>_xlfn.IFERROR(-5231.35,0)</f>
        <v>-5231.35</v>
      </c>
      <c r="I76" s="3">
        <f>_xlfn.IFERROR(45975.37,0)</f>
        <v>45975.37</v>
      </c>
      <c r="J76" s="3">
        <f>_xlfn.IFERROR(-3359.55,0)</f>
        <v>-3359.55</v>
      </c>
      <c r="K76" s="3">
        <f>_xlfn.IFERROR(-5279.58,0)</f>
        <v>-5279.58</v>
      </c>
      <c r="L76" s="3">
        <f>_xlfn.IFERROR(279.99,0)</f>
        <v>279.99</v>
      </c>
      <c r="M76" s="3">
        <f>_xlfn.IFERROR(-5878.07,0)</f>
        <v>-5878.07</v>
      </c>
      <c r="N76" s="3">
        <f>_xlfn.IFERROR(-6054.8,0)</f>
        <v>-6054.8</v>
      </c>
      <c r="O76" s="3">
        <f>_xlfn.IFERROR(-5842.12,0)</f>
        <v>-5842.12</v>
      </c>
      <c r="P76" s="3">
        <f aca="true" t="shared" si="57" ref="P76:P78">_xlfn.IFERROR(0,0)</f>
        <v>0</v>
      </c>
      <c r="Q76" s="3">
        <f t="shared" si="2"/>
        <v>-1000.1099999999915</v>
      </c>
      <c r="R76" s="23">
        <f t="shared" si="3"/>
        <v>-61191.05999999999</v>
      </c>
    </row>
    <row r="77" spans="1:18" s="15" customFormat="1" ht="18" hidden="1" outlineLevel="1">
      <c r="A77" s="25"/>
      <c r="B77" s="33">
        <v>2801</v>
      </c>
      <c r="C77" s="29" t="s">
        <v>6</v>
      </c>
      <c r="D77" s="3">
        <f aca="true" t="shared" si="58" ref="D77:O78">_xlfn.IFERROR(0,0)</f>
        <v>0</v>
      </c>
      <c r="E77" s="3">
        <f t="shared" si="58"/>
        <v>0</v>
      </c>
      <c r="F77" s="3">
        <f t="shared" si="58"/>
        <v>0</v>
      </c>
      <c r="G77" s="3">
        <f t="shared" si="58"/>
        <v>0</v>
      </c>
      <c r="H77" s="3">
        <f t="shared" si="58"/>
        <v>0</v>
      </c>
      <c r="I77" s="3">
        <f t="shared" si="58"/>
        <v>0</v>
      </c>
      <c r="J77" s="3">
        <f t="shared" si="58"/>
        <v>0</v>
      </c>
      <c r="K77" s="3">
        <f t="shared" si="58"/>
        <v>0</v>
      </c>
      <c r="L77" s="3">
        <f t="shared" si="58"/>
        <v>0</v>
      </c>
      <c r="M77" s="3">
        <f t="shared" si="58"/>
        <v>0</v>
      </c>
      <c r="N77" s="3">
        <f t="shared" si="58"/>
        <v>0</v>
      </c>
      <c r="O77" s="3">
        <f t="shared" si="58"/>
        <v>0</v>
      </c>
      <c r="P77" s="3">
        <f t="shared" si="57"/>
        <v>0</v>
      </c>
      <c r="Q77" s="3">
        <f t="shared" si="2"/>
        <v>0</v>
      </c>
      <c r="R77" s="23">
        <f t="shared" si="3"/>
        <v>0</v>
      </c>
    </row>
    <row r="78" spans="1:18" s="15" customFormat="1" ht="18" hidden="1" outlineLevel="1">
      <c r="A78" s="25"/>
      <c r="B78" s="33">
        <v>2810</v>
      </c>
      <c r="C78" s="29" t="s">
        <v>86</v>
      </c>
      <c r="D78" s="3">
        <f t="shared" si="58"/>
        <v>0</v>
      </c>
      <c r="E78" s="3">
        <f t="shared" si="58"/>
        <v>0</v>
      </c>
      <c r="F78" s="3">
        <f t="shared" si="58"/>
        <v>0</v>
      </c>
      <c r="G78" s="3">
        <f t="shared" si="58"/>
        <v>0</v>
      </c>
      <c r="H78" s="3">
        <f t="shared" si="58"/>
        <v>0</v>
      </c>
      <c r="I78" s="3">
        <f t="shared" si="58"/>
        <v>0</v>
      </c>
      <c r="J78" s="3">
        <f t="shared" si="58"/>
        <v>0</v>
      </c>
      <c r="K78" s="3">
        <f t="shared" si="58"/>
        <v>0</v>
      </c>
      <c r="L78" s="3">
        <f t="shared" si="58"/>
        <v>0</v>
      </c>
      <c r="M78" s="3">
        <f t="shared" si="58"/>
        <v>0</v>
      </c>
      <c r="N78" s="3">
        <f t="shared" si="58"/>
        <v>0</v>
      </c>
      <c r="O78" s="3">
        <f t="shared" si="58"/>
        <v>0</v>
      </c>
      <c r="P78" s="3">
        <f t="shared" si="57"/>
        <v>0</v>
      </c>
      <c r="Q78" s="3">
        <f t="shared" si="2"/>
        <v>0</v>
      </c>
      <c r="R78" s="23">
        <f t="shared" si="3"/>
        <v>0</v>
      </c>
    </row>
    <row r="79" spans="1:18" s="15" customFormat="1" ht="18" hidden="1" outlineLevel="1">
      <c r="A79" s="25"/>
      <c r="B79" s="33">
        <v>2909</v>
      </c>
      <c r="C79" s="29" t="s">
        <v>125</v>
      </c>
      <c r="D79" s="3">
        <f>_xlfn.IFERROR(-379147.19,0)</f>
        <v>-379147.19</v>
      </c>
      <c r="E79" s="3">
        <f>_xlfn.IFERROR(379147.19,0)</f>
        <v>379147.19</v>
      </c>
      <c r="F79" s="3">
        <f aca="true" t="shared" si="59" ref="F79:O79">_xlfn.IFERROR(0,0)</f>
        <v>0</v>
      </c>
      <c r="G79" s="3">
        <f t="shared" si="59"/>
        <v>0</v>
      </c>
      <c r="H79" s="3">
        <f t="shared" si="59"/>
        <v>0</v>
      </c>
      <c r="I79" s="3">
        <f t="shared" si="59"/>
        <v>0</v>
      </c>
      <c r="J79" s="3">
        <f t="shared" si="59"/>
        <v>0</v>
      </c>
      <c r="K79" s="3">
        <f t="shared" si="59"/>
        <v>0</v>
      </c>
      <c r="L79" s="3">
        <f t="shared" si="59"/>
        <v>0</v>
      </c>
      <c r="M79" s="3">
        <f t="shared" si="59"/>
        <v>0</v>
      </c>
      <c r="N79" s="3">
        <f t="shared" si="59"/>
        <v>0</v>
      </c>
      <c r="O79" s="3">
        <f t="shared" si="59"/>
        <v>0</v>
      </c>
      <c r="P79" s="3">
        <f>_xlfn.IFERROR(-435233.63,0)</f>
        <v>-435233.63</v>
      </c>
      <c r="Q79" s="3">
        <f t="shared" si="2"/>
        <v>-56086.44</v>
      </c>
      <c r="R79" s="23">
        <f t="shared" si="3"/>
        <v>-435233.63</v>
      </c>
    </row>
    <row r="80" spans="1:18" s="15" customFormat="1" ht="18" hidden="1" outlineLevel="1">
      <c r="A80" s="25"/>
      <c r="B80" s="33">
        <v>2910</v>
      </c>
      <c r="C80" s="29" t="s">
        <v>136</v>
      </c>
      <c r="D80" s="3">
        <f aca="true" t="shared" si="60" ref="D80:D81">_xlfn.IFERROR(0,0)</f>
        <v>0</v>
      </c>
      <c r="E80" s="3">
        <f>_xlfn.IFERROR(-197851.32,0)</f>
        <v>-197851.32</v>
      </c>
      <c r="F80" s="3">
        <f>_xlfn.IFERROR(14179.41,0)</f>
        <v>14179.41</v>
      </c>
      <c r="G80" s="3">
        <f>_xlfn.IFERROR(-2116.87,0)</f>
        <v>-2116.87</v>
      </c>
      <c r="H80" s="3">
        <f>_xlfn.IFERROR(-750.53,0)</f>
        <v>-750.53</v>
      </c>
      <c r="I80" s="3">
        <f>_xlfn.IFERROR(-206259.04,0)</f>
        <v>-206259.04</v>
      </c>
      <c r="J80" s="3">
        <f>_xlfn.IFERROR(199393.83,0)</f>
        <v>199393.83</v>
      </c>
      <c r="K80" s="3">
        <f>_xlfn.IFERROR(5113.97,0)</f>
        <v>5113.97</v>
      </c>
      <c r="L80" s="3">
        <f>_xlfn.IFERROR(-30536.4,0)</f>
        <v>-30536.4</v>
      </c>
      <c r="M80" s="3">
        <f>_xlfn.IFERROR(10653.9,0)</f>
        <v>10653.9</v>
      </c>
      <c r="N80" s="3">
        <f>_xlfn.IFERROR(-7173.39,0)</f>
        <v>-7173.39</v>
      </c>
      <c r="O80" s="3">
        <f>_xlfn.IFERROR(-51542.98,0)</f>
        <v>-51542.98</v>
      </c>
      <c r="P80" s="3">
        <f>_xlfn.IFERROR(266889.42,0)</f>
        <v>266889.42</v>
      </c>
      <c r="Q80" s="3">
        <f t="shared" si="2"/>
        <v>0</v>
      </c>
      <c r="R80" s="23">
        <f t="shared" si="3"/>
        <v>0</v>
      </c>
    </row>
    <row r="81" spans="1:18" s="15" customFormat="1" ht="18" hidden="1" outlineLevel="1">
      <c r="A81" s="25"/>
      <c r="B81" s="33">
        <v>2911</v>
      </c>
      <c r="C81" s="29" t="s">
        <v>18</v>
      </c>
      <c r="D81" s="3">
        <f t="shared" si="60"/>
        <v>0</v>
      </c>
      <c r="E81" s="3">
        <f>_xlfn.IFERROR(0,0)</f>
        <v>0</v>
      </c>
      <c r="F81" s="3">
        <f>_xlfn.IFERROR(129,0)</f>
        <v>129</v>
      </c>
      <c r="G81" s="3">
        <f aca="true" t="shared" si="61" ref="G81:G83">_xlfn.IFERROR(0,0)</f>
        <v>0</v>
      </c>
      <c r="H81" s="3">
        <f aca="true" t="shared" si="62" ref="H81:P81">_xlfn.IFERROR(0,0)</f>
        <v>0</v>
      </c>
      <c r="I81" s="3">
        <f t="shared" si="62"/>
        <v>0</v>
      </c>
      <c r="J81" s="3">
        <f t="shared" si="62"/>
        <v>0</v>
      </c>
      <c r="K81" s="3">
        <f t="shared" si="62"/>
        <v>0</v>
      </c>
      <c r="L81" s="3">
        <f t="shared" si="62"/>
        <v>0</v>
      </c>
      <c r="M81" s="3">
        <f t="shared" si="62"/>
        <v>0</v>
      </c>
      <c r="N81" s="3">
        <f t="shared" si="62"/>
        <v>0</v>
      </c>
      <c r="O81" s="3">
        <f t="shared" si="62"/>
        <v>0</v>
      </c>
      <c r="P81" s="3">
        <f t="shared" si="62"/>
        <v>0</v>
      </c>
      <c r="Q81" s="3">
        <f t="shared" si="2"/>
        <v>129</v>
      </c>
      <c r="R81" s="23">
        <f t="shared" si="3"/>
        <v>129</v>
      </c>
    </row>
    <row r="82" spans="1:18" s="15" customFormat="1" ht="18" hidden="1" outlineLevel="1">
      <c r="A82" s="25"/>
      <c r="B82" s="33">
        <v>2912</v>
      </c>
      <c r="C82" s="29" t="s">
        <v>40</v>
      </c>
      <c r="D82" s="3">
        <f>_xlfn.IFERROR(-786.52,0)</f>
        <v>-786.52</v>
      </c>
      <c r="E82" s="3">
        <f>_xlfn.IFERROR(85,0)</f>
        <v>85</v>
      </c>
      <c r="F82" s="3">
        <f>_xlfn.IFERROR(559,0)</f>
        <v>559</v>
      </c>
      <c r="G82" s="3">
        <f t="shared" si="61"/>
        <v>0</v>
      </c>
      <c r="H82" s="3">
        <f>_xlfn.IFERROR(85,0)</f>
        <v>85</v>
      </c>
      <c r="I82" s="3">
        <f>_xlfn.IFERROR(85743.06,0)</f>
        <v>85743.06</v>
      </c>
      <c r="J82" s="3">
        <f aca="true" t="shared" si="63" ref="J82:J83">_xlfn.IFERROR(0,0)</f>
        <v>0</v>
      </c>
      <c r="K82" s="3">
        <f>_xlfn.IFERROR(1308.46,0)</f>
        <v>1308.46</v>
      </c>
      <c r="L82" s="3">
        <f>_xlfn.IFERROR(5,0)</f>
        <v>5</v>
      </c>
      <c r="M82" s="3">
        <f aca="true" t="shared" si="64" ref="M82:P82">_xlfn.IFERROR(85,0)</f>
        <v>85</v>
      </c>
      <c r="N82" s="3">
        <f t="shared" si="64"/>
        <v>85</v>
      </c>
      <c r="O82" s="3">
        <f t="shared" si="64"/>
        <v>85</v>
      </c>
      <c r="P82" s="3">
        <f t="shared" si="64"/>
        <v>85</v>
      </c>
      <c r="Q82" s="3">
        <f t="shared" si="2"/>
        <v>88125.52</v>
      </c>
      <c r="R82" s="23">
        <f t="shared" si="3"/>
        <v>87339</v>
      </c>
    </row>
    <row r="83" spans="1:18" s="15" customFormat="1" ht="18" hidden="1" outlineLevel="1">
      <c r="A83" s="25"/>
      <c r="B83" s="33">
        <v>2913</v>
      </c>
      <c r="C83" s="29" t="s">
        <v>47</v>
      </c>
      <c r="D83" s="3">
        <f aca="true" t="shared" si="65" ref="D83:F83">_xlfn.IFERROR(0,0)</f>
        <v>0</v>
      </c>
      <c r="E83" s="3">
        <f t="shared" si="65"/>
        <v>0</v>
      </c>
      <c r="F83" s="3">
        <f t="shared" si="65"/>
        <v>0</v>
      </c>
      <c r="G83" s="3">
        <f t="shared" si="61"/>
        <v>0</v>
      </c>
      <c r="H83" s="3">
        <f aca="true" t="shared" si="66" ref="H83:I83">_xlfn.IFERROR(0,0)</f>
        <v>0</v>
      </c>
      <c r="I83" s="3">
        <f t="shared" si="66"/>
        <v>0</v>
      </c>
      <c r="J83" s="3">
        <f t="shared" si="63"/>
        <v>0</v>
      </c>
      <c r="K83" s="3">
        <f aca="true" t="shared" si="67" ref="K83:P83">_xlfn.IFERROR(0,0)</f>
        <v>0</v>
      </c>
      <c r="L83" s="3">
        <f t="shared" si="67"/>
        <v>0</v>
      </c>
      <c r="M83" s="3">
        <f t="shared" si="67"/>
        <v>0</v>
      </c>
      <c r="N83" s="3">
        <f t="shared" si="67"/>
        <v>0</v>
      </c>
      <c r="O83" s="3">
        <f t="shared" si="67"/>
        <v>0</v>
      </c>
      <c r="P83" s="3">
        <f t="shared" si="67"/>
        <v>0</v>
      </c>
      <c r="Q83" s="3">
        <f t="shared" si="2"/>
        <v>0</v>
      </c>
      <c r="R83" s="23">
        <f t="shared" si="3"/>
        <v>0</v>
      </c>
    </row>
    <row r="84" spans="1:18" s="15" customFormat="1" ht="18" hidden="1" outlineLevel="1">
      <c r="A84" s="25"/>
      <c r="B84" s="33">
        <v>2920</v>
      </c>
      <c r="C84" s="29" t="s">
        <v>109</v>
      </c>
      <c r="D84" s="3">
        <f>_xlfn.IFERROR(-426884.81,0)</f>
        <v>-426884.81</v>
      </c>
      <c r="E84" s="3">
        <f>_xlfn.IFERROR(-37222.53,0)</f>
        <v>-37222.53</v>
      </c>
      <c r="F84" s="3">
        <f>_xlfn.IFERROR(-36531.82,0)</f>
        <v>-36531.82</v>
      </c>
      <c r="G84" s="3">
        <f>_xlfn.IFERROR(-36955.29,0)</f>
        <v>-36955.29</v>
      </c>
      <c r="H84" s="3">
        <f>_xlfn.IFERROR(-37101.87,0)</f>
        <v>-37101.87</v>
      </c>
      <c r="I84" s="3">
        <f>_xlfn.IFERROR(326066.49,0)</f>
        <v>326066.49</v>
      </c>
      <c r="J84" s="3">
        <f>_xlfn.IFERROR(-23826.65,0)</f>
        <v>-23826.65</v>
      </c>
      <c r="K84" s="3">
        <f>_xlfn.IFERROR(-37443.9,0)</f>
        <v>-37443.9</v>
      </c>
      <c r="L84" s="3">
        <f>_xlfn.IFERROR(1985.65,0)</f>
        <v>1985.65</v>
      </c>
      <c r="M84" s="3">
        <f>_xlfn.IFERROR(-41688.4,0)</f>
        <v>-41688.4</v>
      </c>
      <c r="N84" s="3">
        <f>_xlfn.IFERROR(-42941.85,0)</f>
        <v>-42941.85</v>
      </c>
      <c r="O84" s="3">
        <f>_xlfn.IFERROR(-41433.45,0)</f>
        <v>-41433.45</v>
      </c>
      <c r="P84" s="3">
        <f>_xlfn.IFERROR(0,0)</f>
        <v>0</v>
      </c>
      <c r="Q84" s="3">
        <f t="shared" si="2"/>
        <v>-7093.620000000003</v>
      </c>
      <c r="R84" s="23">
        <f t="shared" si="3"/>
        <v>-433978.43</v>
      </c>
    </row>
    <row r="85" spans="1:18" s="15" customFormat="1" ht="18" hidden="1" outlineLevel="1">
      <c r="A85" s="25"/>
      <c r="B85" s="33">
        <v>2921</v>
      </c>
      <c r="C85" s="29" t="s">
        <v>77</v>
      </c>
      <c r="D85" s="3">
        <f aca="true" t="shared" si="68" ref="D85:H85">_xlfn.IFERROR(0,0)</f>
        <v>0</v>
      </c>
      <c r="E85" s="3">
        <f t="shared" si="68"/>
        <v>0</v>
      </c>
      <c r="F85" s="3">
        <f t="shared" si="68"/>
        <v>0</v>
      </c>
      <c r="G85" s="3">
        <f t="shared" si="68"/>
        <v>0</v>
      </c>
      <c r="H85" s="3">
        <f t="shared" si="68"/>
        <v>0</v>
      </c>
      <c r="I85" s="3">
        <f>_xlfn.IFERROR(-800000,0)</f>
        <v>-800000</v>
      </c>
      <c r="J85" s="3">
        <f aca="true" t="shared" si="69" ref="J85:O85">_xlfn.IFERROR(0,0)</f>
        <v>0</v>
      </c>
      <c r="K85" s="3">
        <f t="shared" si="69"/>
        <v>0</v>
      </c>
      <c r="L85" s="3">
        <f t="shared" si="69"/>
        <v>0</v>
      </c>
      <c r="M85" s="3">
        <f t="shared" si="69"/>
        <v>0</v>
      </c>
      <c r="N85" s="3">
        <f t="shared" si="69"/>
        <v>0</v>
      </c>
      <c r="O85" s="3">
        <f t="shared" si="69"/>
        <v>0</v>
      </c>
      <c r="P85" s="3">
        <f>_xlfn.IFERROR(800000,0)</f>
        <v>800000</v>
      </c>
      <c r="Q85" s="3">
        <f t="shared" si="2"/>
        <v>0</v>
      </c>
      <c r="R85" s="23">
        <f t="shared" si="3"/>
        <v>0</v>
      </c>
    </row>
    <row r="86" spans="1:18" s="15" customFormat="1" ht="18" hidden="1" outlineLevel="1">
      <c r="A86" s="25"/>
      <c r="B86" s="33">
        <v>2990</v>
      </c>
      <c r="C86" s="29" t="s">
        <v>100</v>
      </c>
      <c r="D86" s="3">
        <f>_xlfn.IFERROR(-34475,0)</f>
        <v>-34475</v>
      </c>
      <c r="E86" s="3">
        <f>_xlfn.IFERROR(34475,0)</f>
        <v>34475</v>
      </c>
      <c r="F86" s="3">
        <f>_xlfn.IFERROR(0,0)</f>
        <v>0</v>
      </c>
      <c r="G86" s="3">
        <f>_xlfn.IFERROR(-7310,0)</f>
        <v>-7310</v>
      </c>
      <c r="H86" s="3">
        <f>_xlfn.IFERROR(13960.04,0)</f>
        <v>13960.04</v>
      </c>
      <c r="I86" s="3">
        <f>_xlfn.IFERROR(-4700.74,0)</f>
        <v>-4700.74</v>
      </c>
      <c r="J86" s="3">
        <f>_xlfn.IFERROR(-1949.3,0)</f>
        <v>-1949.3</v>
      </c>
      <c r="K86" s="3">
        <f>_xlfn.IFERROR(55362.39,0)</f>
        <v>55362.39</v>
      </c>
      <c r="L86" s="3">
        <f>_xlfn.IFERROR(-55362.39,0)</f>
        <v>-55362.39</v>
      </c>
      <c r="M86" s="3">
        <f aca="true" t="shared" si="70" ref="M86:O86">_xlfn.IFERROR(0,0)</f>
        <v>0</v>
      </c>
      <c r="N86" s="3">
        <f t="shared" si="70"/>
        <v>0</v>
      </c>
      <c r="O86" s="3">
        <f t="shared" si="70"/>
        <v>0</v>
      </c>
      <c r="P86" s="3">
        <f>_xlfn.IFERROR(-2219,0)</f>
        <v>-2219</v>
      </c>
      <c r="Q86" s="3">
        <f t="shared" si="2"/>
        <v>32256</v>
      </c>
      <c r="R86" s="23">
        <f t="shared" si="3"/>
        <v>-2219</v>
      </c>
    </row>
    <row r="87" spans="1:28" s="21" customFormat="1" ht="18.2" collapsed="1">
      <c r="A87" s="5"/>
      <c r="B87" s="18" t="s">
        <v>96</v>
      </c>
      <c r="C87" s="18"/>
      <c r="D87" s="2">
        <f aca="true" t="shared" si="71" ref="D87:Q87">SUM(D7:D86)</f>
        <v>1.862645149230957E-09</v>
      </c>
      <c r="E87" s="2">
        <f t="shared" si="71"/>
        <v>1.2699999999895226</v>
      </c>
      <c r="F87" s="2">
        <f t="shared" si="71"/>
        <v>-6628.040000000026</v>
      </c>
      <c r="G87" s="2">
        <f t="shared" si="71"/>
        <v>4000.94999999999</v>
      </c>
      <c r="H87" s="2">
        <f t="shared" si="71"/>
        <v>2434.1800000000076</v>
      </c>
      <c r="I87" s="2">
        <f t="shared" si="71"/>
        <v>-2765.500000000009</v>
      </c>
      <c r="J87" s="2">
        <f t="shared" si="71"/>
        <v>-2121.039999999998</v>
      </c>
      <c r="K87" s="2">
        <f t="shared" si="71"/>
        <v>4249.959999999999</v>
      </c>
      <c r="L87" s="2">
        <f t="shared" si="71"/>
        <v>0.030000000027939677</v>
      </c>
      <c r="M87" s="2">
        <f t="shared" si="71"/>
        <v>0.5100000000165892</v>
      </c>
      <c r="N87" s="2">
        <f t="shared" si="71"/>
        <v>-81.13999999999214</v>
      </c>
      <c r="O87" s="2">
        <f t="shared" si="71"/>
        <v>0.8699999999589636</v>
      </c>
      <c r="P87" s="2">
        <f t="shared" si="71"/>
        <v>-26530.360000000102</v>
      </c>
      <c r="Q87" s="2">
        <f t="shared" si="71"/>
        <v>-27438.31000000034</v>
      </c>
      <c r="R87" s="28">
        <f>D87+Q87</f>
        <v>-27438.309999998477</v>
      </c>
      <c r="S87" s="15"/>
      <c r="T87" s="15"/>
      <c r="U87" s="6"/>
      <c r="V87" s="6"/>
      <c r="W87" s="6"/>
      <c r="X87" s="6"/>
      <c r="Y87" s="6"/>
      <c r="Z87" s="6"/>
      <c r="AA87" s="6"/>
      <c r="AB87" s="6"/>
    </row>
    <row r="88" spans="2:18" s="19" customFormat="1" ht="3" customHeight="1">
      <c r="B88" s="16"/>
      <c r="C88" s="16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s="19" customFormat="1" ht="3" customHeight="1">
      <c r="B89" s="30"/>
      <c r="C89" s="30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2:18" s="19" customFormat="1" ht="3" customHeight="1">
      <c r="B90" s="16"/>
      <c r="C90" s="16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s="15" customFormat="1" ht="18" hidden="1" outlineLevel="1">
      <c r="A91" s="25"/>
      <c r="B91" s="33">
        <v>3000</v>
      </c>
      <c r="C91" s="29" t="s">
        <v>19</v>
      </c>
      <c r="D91" s="3">
        <v>0</v>
      </c>
      <c r="E91" s="3">
        <f aca="true" t="shared" si="72" ref="E91:O91">_xlfn.IFERROR(0,0)</f>
        <v>0</v>
      </c>
      <c r="F91" s="3">
        <f t="shared" si="72"/>
        <v>0</v>
      </c>
      <c r="G91" s="3">
        <f t="shared" si="72"/>
        <v>0</v>
      </c>
      <c r="H91" s="3">
        <f t="shared" si="72"/>
        <v>0</v>
      </c>
      <c r="I91" s="3">
        <f t="shared" si="72"/>
        <v>0</v>
      </c>
      <c r="J91" s="3">
        <f t="shared" si="72"/>
        <v>0</v>
      </c>
      <c r="K91" s="3">
        <f t="shared" si="72"/>
        <v>0</v>
      </c>
      <c r="L91" s="3">
        <f t="shared" si="72"/>
        <v>0</v>
      </c>
      <c r="M91" s="3">
        <f t="shared" si="72"/>
        <v>0</v>
      </c>
      <c r="N91" s="3">
        <f t="shared" si="72"/>
        <v>0</v>
      </c>
      <c r="O91" s="3">
        <f t="shared" si="72"/>
        <v>0</v>
      </c>
      <c r="P91" s="3">
        <f>_xlfn.IFERROR(--10000,0)</f>
        <v>10000</v>
      </c>
      <c r="Q91" s="3">
        <f aca="true" t="shared" si="73" ref="Q91:Q142">_xlfn.IFERROR(SUM(E91:P91),0)</f>
        <v>10000</v>
      </c>
      <c r="R91" s="23">
        <f aca="true" t="shared" si="74" ref="R91:R142">D91+Q91</f>
        <v>10000</v>
      </c>
    </row>
    <row r="92" spans="1:18" s="15" customFormat="1" ht="18" hidden="1" outlineLevel="1">
      <c r="A92" s="25"/>
      <c r="B92" s="33">
        <v>3900</v>
      </c>
      <c r="C92" s="29" t="s">
        <v>68</v>
      </c>
      <c r="D92" s="3">
        <v>0</v>
      </c>
      <c r="E92" s="3">
        <f>_xlfn.IFERROR(--811924,0)</f>
        <v>811924</v>
      </c>
      <c r="F92" s="3">
        <f>_xlfn.IFERROR(--712987,0)</f>
        <v>712987</v>
      </c>
      <c r="G92" s="3">
        <f>_xlfn.IFERROR(--878614,0)</f>
        <v>878614</v>
      </c>
      <c r="H92" s="3">
        <f>_xlfn.IFERROR(--745979,0)</f>
        <v>745979</v>
      </c>
      <c r="I92" s="3">
        <f>_xlfn.IFERROR(--608121,0)</f>
        <v>608121</v>
      </c>
      <c r="J92" s="3">
        <f>_xlfn.IFERROR(--772173,0)</f>
        <v>772173</v>
      </c>
      <c r="K92" s="3">
        <f>_xlfn.IFERROR(--875564,0)</f>
        <v>875564</v>
      </c>
      <c r="L92" s="3">
        <f>_xlfn.IFERROR(--702767,0)</f>
        <v>702767</v>
      </c>
      <c r="M92" s="3">
        <f>_xlfn.IFERROR(--1044237,0)</f>
        <v>1044237</v>
      </c>
      <c r="N92" s="3">
        <f>_xlfn.IFERROR(--921075,0)</f>
        <v>921075</v>
      </c>
      <c r="O92" s="3">
        <f>_xlfn.IFERROR(--873286,0)</f>
        <v>873286</v>
      </c>
      <c r="P92" s="3">
        <f>_xlfn.IFERROR(--1025041,0)</f>
        <v>1025041</v>
      </c>
      <c r="Q92" s="3">
        <f t="shared" si="73"/>
        <v>9971768</v>
      </c>
      <c r="R92" s="23">
        <f t="shared" si="74"/>
        <v>9971768</v>
      </c>
    </row>
    <row r="93" spans="1:18" s="15" customFormat="1" ht="18" hidden="1" outlineLevel="1">
      <c r="A93" s="25"/>
      <c r="B93" s="33">
        <v>5010</v>
      </c>
      <c r="C93" s="29" t="s">
        <v>110</v>
      </c>
      <c r="D93" s="3">
        <v>0</v>
      </c>
      <c r="E93" s="3">
        <f>_xlfn.IFERROR(-599582.75,0)</f>
        <v>-599582.75</v>
      </c>
      <c r="F93" s="3">
        <f>_xlfn.IFERROR(-292597.91,0)</f>
        <v>-292597.91</v>
      </c>
      <c r="G93" s="3">
        <f>_xlfn.IFERROR(-296126.78,0)</f>
        <v>-296126.78</v>
      </c>
      <c r="H93" s="3">
        <f>_xlfn.IFERROR(-297348.31,0)</f>
        <v>-297348.31</v>
      </c>
      <c r="I93" s="3">
        <f>_xlfn.IFERROR(-110822.2,0)</f>
        <v>-110822.2</v>
      </c>
      <c r="J93" s="3">
        <f>_xlfn.IFERROR(-286625.98,0)</f>
        <v>-286625.98</v>
      </c>
      <c r="K93" s="3">
        <f>_xlfn.IFERROR(-300198.55,0)</f>
        <v>-300198.55</v>
      </c>
      <c r="L93" s="3">
        <f>_xlfn.IFERROR(-287983.24,0)</f>
        <v>-287983.24</v>
      </c>
      <c r="M93" s="3">
        <f>_xlfn.IFERROR(-335096.02,0)</f>
        <v>-335096.02</v>
      </c>
      <c r="N93" s="3">
        <f>_xlfn.IFERROR(-345541.46,0)</f>
        <v>-345541.46</v>
      </c>
      <c r="O93" s="3">
        <f>_xlfn.IFERROR(-336366.42,0)</f>
        <v>-336366.42</v>
      </c>
      <c r="P93" s="3">
        <f>_xlfn.IFERROR(0,0)</f>
        <v>0</v>
      </c>
      <c r="Q93" s="3">
        <f t="shared" si="73"/>
        <v>-3488289.6199999996</v>
      </c>
      <c r="R93" s="23">
        <f t="shared" si="74"/>
        <v>-3488289.6199999996</v>
      </c>
    </row>
    <row r="94" spans="1:18" s="15" customFormat="1" ht="18" hidden="1" outlineLevel="1">
      <c r="A94" s="25"/>
      <c r="B94" s="33">
        <v>5090</v>
      </c>
      <c r="C94" s="29" t="s">
        <v>48</v>
      </c>
      <c r="D94" s="3">
        <v>0</v>
      </c>
      <c r="E94" s="3">
        <f>_xlfn.IFERROR(--379147.19,0)</f>
        <v>379147.19</v>
      </c>
      <c r="F94" s="3">
        <f aca="true" t="shared" si="75" ref="F94:O94">_xlfn.IFERROR(0,0)</f>
        <v>0</v>
      </c>
      <c r="G94" s="3">
        <f t="shared" si="75"/>
        <v>0</v>
      </c>
      <c r="H94" s="3">
        <f t="shared" si="75"/>
        <v>0</v>
      </c>
      <c r="I94" s="3">
        <f t="shared" si="75"/>
        <v>0</v>
      </c>
      <c r="J94" s="3">
        <f t="shared" si="75"/>
        <v>0</v>
      </c>
      <c r="K94" s="3">
        <f t="shared" si="75"/>
        <v>0</v>
      </c>
      <c r="L94" s="3">
        <f t="shared" si="75"/>
        <v>0</v>
      </c>
      <c r="M94" s="3">
        <f t="shared" si="75"/>
        <v>0</v>
      </c>
      <c r="N94" s="3">
        <f t="shared" si="75"/>
        <v>0</v>
      </c>
      <c r="O94" s="3">
        <f t="shared" si="75"/>
        <v>0</v>
      </c>
      <c r="P94" s="3">
        <f>_xlfn.IFERROR(-435233.63,0)</f>
        <v>-435233.63</v>
      </c>
      <c r="Q94" s="3">
        <f t="shared" si="73"/>
        <v>-56086.44</v>
      </c>
      <c r="R94" s="23">
        <f t="shared" si="74"/>
        <v>-56086.44</v>
      </c>
    </row>
    <row r="95" spans="1:18" s="15" customFormat="1" ht="18" hidden="1" outlineLevel="1">
      <c r="A95" s="25"/>
      <c r="B95" s="33">
        <v>5190</v>
      </c>
      <c r="C95" s="29" t="s">
        <v>92</v>
      </c>
      <c r="D95" s="3">
        <v>0</v>
      </c>
      <c r="E95" s="3">
        <f>_xlfn.IFERROR(-74790.07,0)</f>
        <v>-74790.07</v>
      </c>
      <c r="F95" s="3">
        <f>_xlfn.IFERROR(-36531.82,0)</f>
        <v>-36531.82</v>
      </c>
      <c r="G95" s="3">
        <f>_xlfn.IFERROR(-36955.29,0)</f>
        <v>-36955.29</v>
      </c>
      <c r="H95" s="3">
        <f>_xlfn.IFERROR(-37101.87,0)</f>
        <v>-37101.87</v>
      </c>
      <c r="I95" s="3">
        <f>_xlfn.IFERROR(-13298.67,0)</f>
        <v>-13298.67</v>
      </c>
      <c r="J95" s="3">
        <f>_xlfn.IFERROR(-35815.19,0)</f>
        <v>-35815.19</v>
      </c>
      <c r="K95" s="3">
        <f>_xlfn.IFERROR(-37443.9,0)</f>
        <v>-37443.9</v>
      </c>
      <c r="L95" s="3">
        <f>_xlfn.IFERROR(-35978.06,0)</f>
        <v>-35978.06</v>
      </c>
      <c r="M95" s="3">
        <f>_xlfn.IFERROR(-41688.4,0)</f>
        <v>-41688.4</v>
      </c>
      <c r="N95" s="3">
        <f>_xlfn.IFERROR(-42941.85,0)</f>
        <v>-42941.85</v>
      </c>
      <c r="O95" s="3">
        <f>_xlfn.IFERROR(-41433.45,0)</f>
        <v>-41433.45</v>
      </c>
      <c r="P95" s="3">
        <f aca="true" t="shared" si="76" ref="P95:P96">_xlfn.IFERROR(0,0)</f>
        <v>0</v>
      </c>
      <c r="Q95" s="3">
        <f t="shared" si="73"/>
        <v>-433978.57000000007</v>
      </c>
      <c r="R95" s="23">
        <f t="shared" si="74"/>
        <v>-433978.57000000007</v>
      </c>
    </row>
    <row r="96" spans="1:18" s="15" customFormat="1" ht="18" hidden="1" outlineLevel="1">
      <c r="A96" s="25"/>
      <c r="B96" s="33">
        <v>5220</v>
      </c>
      <c r="C96" s="29" t="s">
        <v>49</v>
      </c>
      <c r="D96" s="3">
        <v>0</v>
      </c>
      <c r="E96" s="3">
        <f>_xlfn.IFERROR(-2004,0)</f>
        <v>-2004</v>
      </c>
      <c r="F96" s="3">
        <f aca="true" t="shared" si="77" ref="F96:N96">_xlfn.IFERROR(-1002,0)</f>
        <v>-1002</v>
      </c>
      <c r="G96" s="3">
        <f t="shared" si="77"/>
        <v>-1002</v>
      </c>
      <c r="H96" s="3">
        <f t="shared" si="77"/>
        <v>-1002</v>
      </c>
      <c r="I96" s="3">
        <f t="shared" si="77"/>
        <v>-1002</v>
      </c>
      <c r="J96" s="3">
        <f t="shared" si="77"/>
        <v>-1002</v>
      </c>
      <c r="K96" s="3">
        <f t="shared" si="77"/>
        <v>-1002</v>
      </c>
      <c r="L96" s="3">
        <f t="shared" si="77"/>
        <v>-1002</v>
      </c>
      <c r="M96" s="3">
        <f t="shared" si="77"/>
        <v>-1002</v>
      </c>
      <c r="N96" s="3">
        <f t="shared" si="77"/>
        <v>-1002</v>
      </c>
      <c r="O96" s="3">
        <f>_xlfn.IFERROR(-1202,0)</f>
        <v>-1202</v>
      </c>
      <c r="P96" s="3">
        <f t="shared" si="76"/>
        <v>0</v>
      </c>
      <c r="Q96" s="3">
        <f t="shared" si="73"/>
        <v>-12224</v>
      </c>
      <c r="R96" s="23">
        <f t="shared" si="74"/>
        <v>-12224</v>
      </c>
    </row>
    <row r="97" spans="1:18" s="15" customFormat="1" ht="18" hidden="1" outlineLevel="1">
      <c r="A97" s="25"/>
      <c r="B97" s="33">
        <v>5280</v>
      </c>
      <c r="C97" s="29" t="s">
        <v>50</v>
      </c>
      <c r="D97" s="3">
        <v>0</v>
      </c>
      <c r="E97" s="3">
        <f aca="true" t="shared" si="78" ref="E97:O97">_xlfn.IFERROR(0,0)</f>
        <v>0</v>
      </c>
      <c r="F97" s="3">
        <f t="shared" si="78"/>
        <v>0</v>
      </c>
      <c r="G97" s="3">
        <f t="shared" si="78"/>
        <v>0</v>
      </c>
      <c r="H97" s="3">
        <f t="shared" si="78"/>
        <v>0</v>
      </c>
      <c r="I97" s="3">
        <f t="shared" si="78"/>
        <v>0</v>
      </c>
      <c r="J97" s="3">
        <f t="shared" si="78"/>
        <v>0</v>
      </c>
      <c r="K97" s="3">
        <f t="shared" si="78"/>
        <v>0</v>
      </c>
      <c r="L97" s="3">
        <f t="shared" si="78"/>
        <v>0</v>
      </c>
      <c r="M97" s="3">
        <f t="shared" si="78"/>
        <v>0</v>
      </c>
      <c r="N97" s="3">
        <f t="shared" si="78"/>
        <v>0</v>
      </c>
      <c r="O97" s="3">
        <f t="shared" si="78"/>
        <v>0</v>
      </c>
      <c r="P97" s="3">
        <f>_xlfn.IFERROR(-166876.04,0)</f>
        <v>-166876.04</v>
      </c>
      <c r="Q97" s="3">
        <f t="shared" si="73"/>
        <v>-166876.04</v>
      </c>
      <c r="R97" s="23">
        <f t="shared" si="74"/>
        <v>-166876.04</v>
      </c>
    </row>
    <row r="98" spans="1:18" s="15" customFormat="1" ht="18" hidden="1" outlineLevel="1">
      <c r="A98" s="25"/>
      <c r="B98" s="33">
        <v>5291</v>
      </c>
      <c r="C98" s="29" t="s">
        <v>65</v>
      </c>
      <c r="D98" s="3">
        <v>0</v>
      </c>
      <c r="E98" s="3">
        <f>_xlfn.IFERROR(--2004,0)</f>
        <v>2004</v>
      </c>
      <c r="F98" s="3">
        <f aca="true" t="shared" si="79" ref="F98:N98">_xlfn.IFERROR(--1002,0)</f>
        <v>1002</v>
      </c>
      <c r="G98" s="3">
        <f t="shared" si="79"/>
        <v>1002</v>
      </c>
      <c r="H98" s="3">
        <f t="shared" si="79"/>
        <v>1002</v>
      </c>
      <c r="I98" s="3">
        <f t="shared" si="79"/>
        <v>1002</v>
      </c>
      <c r="J98" s="3">
        <f t="shared" si="79"/>
        <v>1002</v>
      </c>
      <c r="K98" s="3">
        <f t="shared" si="79"/>
        <v>1002</v>
      </c>
      <c r="L98" s="3">
        <f t="shared" si="79"/>
        <v>1002</v>
      </c>
      <c r="M98" s="3">
        <f t="shared" si="79"/>
        <v>1002</v>
      </c>
      <c r="N98" s="3">
        <f t="shared" si="79"/>
        <v>1002</v>
      </c>
      <c r="O98" s="3">
        <f>_xlfn.IFERROR(--1202,0)</f>
        <v>1202</v>
      </c>
      <c r="P98" s="3">
        <f>_xlfn.IFERROR(--166876.04,0)</f>
        <v>166876.04</v>
      </c>
      <c r="Q98" s="3">
        <f t="shared" si="73"/>
        <v>179100.04</v>
      </c>
      <c r="R98" s="23">
        <f t="shared" si="74"/>
        <v>179100.04</v>
      </c>
    </row>
    <row r="99" spans="1:18" s="15" customFormat="1" ht="18" hidden="1" outlineLevel="1">
      <c r="A99" s="25"/>
      <c r="B99" s="33">
        <v>5410</v>
      </c>
      <c r="C99" s="29" t="s">
        <v>7</v>
      </c>
      <c r="D99" s="3">
        <v>0</v>
      </c>
      <c r="E99" s="3">
        <f>_xlfn.IFERROR(-83699.36,0)</f>
        <v>-83699.36</v>
      </c>
      <c r="F99" s="3">
        <f>_xlfn.IFERROR(-41397.57,0)</f>
        <v>-41397.57</v>
      </c>
      <c r="G99" s="3">
        <f>_xlfn.IFERROR(-41895.13,0)</f>
        <v>-41895.13</v>
      </c>
      <c r="H99" s="3">
        <f>_xlfn.IFERROR(-42067.37,0)</f>
        <v>-42067.37</v>
      </c>
      <c r="I99" s="3">
        <f>_xlfn.IFERROR(-15767.19,0)</f>
        <v>-15767.19</v>
      </c>
      <c r="J99" s="3">
        <f>_xlfn.IFERROR(-40555.52,0)</f>
        <v>-40555.52</v>
      </c>
      <c r="K99" s="3">
        <f>_xlfn.IFERROR(-42469.25,0)</f>
        <v>-42469.25</v>
      </c>
      <c r="L99" s="3">
        <f>_xlfn.IFERROR(-40746.9,0)</f>
        <v>-40746.9</v>
      </c>
      <c r="M99" s="3">
        <f>_xlfn.IFERROR(-47389.81,0)</f>
        <v>-47389.81</v>
      </c>
      <c r="N99" s="3">
        <f>_xlfn.IFERROR(-48862.61,0)</f>
        <v>-48862.61</v>
      </c>
      <c r="O99" s="3">
        <f>_xlfn.IFERROR(-47597.13,0)</f>
        <v>-47597.13</v>
      </c>
      <c r="P99" s="3">
        <f>_xlfn.IFERROR(-23529.51,0)</f>
        <v>-23529.51</v>
      </c>
      <c r="Q99" s="3">
        <f t="shared" si="73"/>
        <v>-515977.35000000003</v>
      </c>
      <c r="R99" s="23">
        <f t="shared" si="74"/>
        <v>-515977.35000000003</v>
      </c>
    </row>
    <row r="100" spans="1:18" s="15" customFormat="1" ht="18" hidden="1" outlineLevel="1">
      <c r="A100" s="25"/>
      <c r="B100" s="33">
        <v>5411</v>
      </c>
      <c r="C100" s="29" t="s">
        <v>31</v>
      </c>
      <c r="D100" s="3">
        <v>0</v>
      </c>
      <c r="E100" s="3">
        <f>_xlfn.IFERROR(-10545.37,0)</f>
        <v>-10545.37</v>
      </c>
      <c r="F100" s="3">
        <f>_xlfn.IFERROR(-5150.97,0)</f>
        <v>-5150.97</v>
      </c>
      <c r="G100" s="3">
        <f>_xlfn.IFERROR(-5210.68,0)</f>
        <v>-5210.68</v>
      </c>
      <c r="H100" s="3">
        <f>_xlfn.IFERROR(-5231.35,0)</f>
        <v>-5231.35</v>
      </c>
      <c r="I100" s="3">
        <f>_xlfn.IFERROR(-1875.11,0)</f>
        <v>-1875.11</v>
      </c>
      <c r="J100" s="3">
        <f>_xlfn.IFERROR(-5049.93,0)</f>
        <v>-5049.93</v>
      </c>
      <c r="K100" s="3">
        <f>_xlfn.IFERROR(-5279.58,0)</f>
        <v>-5279.58</v>
      </c>
      <c r="L100" s="3">
        <f>_xlfn.IFERROR(-5072.89,0)</f>
        <v>-5072.89</v>
      </c>
      <c r="M100" s="3">
        <f>_xlfn.IFERROR(-5878.07,0)</f>
        <v>-5878.07</v>
      </c>
      <c r="N100" s="3">
        <f>_xlfn.IFERROR(-6054.8,0)</f>
        <v>-6054.8</v>
      </c>
      <c r="O100" s="3">
        <f>_xlfn.IFERROR(-5842.12,0)</f>
        <v>-5842.12</v>
      </c>
      <c r="P100" s="3">
        <f>_xlfn.IFERROR(0,0)</f>
        <v>0</v>
      </c>
      <c r="Q100" s="3">
        <f t="shared" si="73"/>
        <v>-61190.87000000001</v>
      </c>
      <c r="R100" s="23">
        <f t="shared" si="74"/>
        <v>-61190.87000000001</v>
      </c>
    </row>
    <row r="101" spans="1:18" s="15" customFormat="1" ht="18" hidden="1" outlineLevel="1">
      <c r="A101" s="25"/>
      <c r="B101" s="33">
        <v>5520</v>
      </c>
      <c r="C101" s="29" t="s">
        <v>101</v>
      </c>
      <c r="D101" s="3">
        <v>0</v>
      </c>
      <c r="E101" s="3">
        <f>_xlfn.IFERROR(-5140.1,0)</f>
        <v>-5140.1</v>
      </c>
      <c r="F101" s="3">
        <f>_xlfn.IFERROR(-4126.01,0)</f>
        <v>-4126.01</v>
      </c>
      <c r="G101" s="3">
        <f>_xlfn.IFERROR(-4026.38,0)</f>
        <v>-4026.38</v>
      </c>
      <c r="H101" s="3">
        <f>_xlfn.IFERROR(-121.8,0)</f>
        <v>-121.8</v>
      </c>
      <c r="I101" s="3">
        <f>_xlfn.IFERROR(-9434.27,0)</f>
        <v>-9434.27</v>
      </c>
      <c r="J101" s="3">
        <f>_xlfn.IFERROR(-3233.9,0)</f>
        <v>-3233.9</v>
      </c>
      <c r="K101" s="3">
        <f>_xlfn.IFERROR(-4920.11,0)</f>
        <v>-4920.11</v>
      </c>
      <c r="L101" s="3">
        <f>_xlfn.IFERROR(-6825.58,0)</f>
        <v>-6825.58</v>
      </c>
      <c r="M101" s="3">
        <f>_xlfn.IFERROR(-4718.7,0)</f>
        <v>-4718.7</v>
      </c>
      <c r="N101" s="3">
        <f>_xlfn.IFERROR(-4181.84,0)</f>
        <v>-4181.84</v>
      </c>
      <c r="O101" s="3">
        <f>_xlfn.IFERROR(-5146.58,0)</f>
        <v>-5146.58</v>
      </c>
      <c r="P101" s="3">
        <f>_xlfn.IFERROR(--9021.81,0)</f>
        <v>9021.81</v>
      </c>
      <c r="Q101" s="3">
        <f t="shared" si="73"/>
        <v>-42853.46000000001</v>
      </c>
      <c r="R101" s="23">
        <f t="shared" si="74"/>
        <v>-42853.46000000001</v>
      </c>
    </row>
    <row r="102" spans="1:18" s="15" customFormat="1" ht="18" hidden="1" outlineLevel="1">
      <c r="A102" s="25"/>
      <c r="B102" s="33">
        <v>5800</v>
      </c>
      <c r="C102" s="29" t="s">
        <v>87</v>
      </c>
      <c r="D102" s="3">
        <v>0</v>
      </c>
      <c r="E102" s="3">
        <f>_xlfn.IFERROR(0,0)</f>
        <v>0</v>
      </c>
      <c r="F102" s="3">
        <f>_xlfn.IFERROR(--7974,0)</f>
        <v>7974</v>
      </c>
      <c r="G102" s="3">
        <f aca="true" t="shared" si="80" ref="G102:P102">_xlfn.IFERROR(0,0)</f>
        <v>0</v>
      </c>
      <c r="H102" s="3">
        <f t="shared" si="80"/>
        <v>0</v>
      </c>
      <c r="I102" s="3">
        <f t="shared" si="80"/>
        <v>0</v>
      </c>
      <c r="J102" s="3">
        <f t="shared" si="80"/>
        <v>0</v>
      </c>
      <c r="K102" s="3">
        <f t="shared" si="80"/>
        <v>0</v>
      </c>
      <c r="L102" s="3">
        <f t="shared" si="80"/>
        <v>0</v>
      </c>
      <c r="M102" s="3">
        <f t="shared" si="80"/>
        <v>0</v>
      </c>
      <c r="N102" s="3">
        <f t="shared" si="80"/>
        <v>0</v>
      </c>
      <c r="O102" s="3">
        <f t="shared" si="80"/>
        <v>0</v>
      </c>
      <c r="P102" s="3">
        <f t="shared" si="80"/>
        <v>0</v>
      </c>
      <c r="Q102" s="3">
        <f t="shared" si="73"/>
        <v>7974</v>
      </c>
      <c r="R102" s="23">
        <f t="shared" si="74"/>
        <v>7974</v>
      </c>
    </row>
    <row r="103" spans="1:18" s="15" customFormat="1" ht="18" hidden="1" outlineLevel="1">
      <c r="A103" s="25"/>
      <c r="B103" s="33">
        <v>5945</v>
      </c>
      <c r="C103" s="29" t="s">
        <v>137</v>
      </c>
      <c r="D103" s="3">
        <v>0</v>
      </c>
      <c r="E103" s="3">
        <f>_xlfn.IFERROR(-5946.79,0)</f>
        <v>-5946.79</v>
      </c>
      <c r="F103" s="3">
        <f>_xlfn.IFERROR(-5411.81,0)</f>
        <v>-5411.81</v>
      </c>
      <c r="G103" s="3">
        <f>_xlfn.IFERROR(-5510.13,0)</f>
        <v>-5510.13</v>
      </c>
      <c r="H103" s="3">
        <f>_xlfn.IFERROR(-5767.26,0)</f>
        <v>-5767.26</v>
      </c>
      <c r="I103" s="3">
        <f>_xlfn.IFERROR(-5951.88,0)</f>
        <v>-5951.88</v>
      </c>
      <c r="J103" s="3">
        <f>_xlfn.IFERROR(-5778.59,0)</f>
        <v>-5778.59</v>
      </c>
      <c r="K103" s="3">
        <f>_xlfn.IFERROR(-6994.87,0)</f>
        <v>-6994.87</v>
      </c>
      <c r="L103" s="3">
        <f>_xlfn.IFERROR(-7010.51,0)</f>
        <v>-7010.51</v>
      </c>
      <c r="M103" s="3">
        <f>_xlfn.IFERROR(-19690.4,0)</f>
        <v>-19690.4</v>
      </c>
      <c r="N103" s="3">
        <f>_xlfn.IFERROR(-23245.82,0)</f>
        <v>-23245.82</v>
      </c>
      <c r="O103" s="3">
        <f>_xlfn.IFERROR(-23397.77,0)</f>
        <v>-23397.77</v>
      </c>
      <c r="P103" s="3">
        <f>_xlfn.IFERROR(-32504.61,0)</f>
        <v>-32504.61</v>
      </c>
      <c r="Q103" s="3">
        <f t="shared" si="73"/>
        <v>-147210.44</v>
      </c>
      <c r="R103" s="23">
        <f t="shared" si="74"/>
        <v>-147210.44</v>
      </c>
    </row>
    <row r="104" spans="1:18" s="15" customFormat="1" ht="18" hidden="1" outlineLevel="1">
      <c r="A104" s="25"/>
      <c r="B104" s="33">
        <v>5990</v>
      </c>
      <c r="C104" s="29" t="s">
        <v>126</v>
      </c>
      <c r="D104" s="3">
        <v>0</v>
      </c>
      <c r="E104" s="3">
        <f>_xlfn.IFERROR(-27941.2,0)</f>
        <v>-27941.2</v>
      </c>
      <c r="F104" s="3">
        <f>_xlfn.IFERROR(-7169.68,0)</f>
        <v>-7169.68</v>
      </c>
      <c r="G104" s="3">
        <f>_xlfn.IFERROR(-5533.9,0)</f>
        <v>-5533.9</v>
      </c>
      <c r="H104" s="3">
        <f>_xlfn.IFERROR(-5601.5,0)</f>
        <v>-5601.5</v>
      </c>
      <c r="I104" s="3">
        <f>_xlfn.IFERROR(-26855,0)</f>
        <v>-26855</v>
      </c>
      <c r="J104" s="3">
        <f>_xlfn.IFERROR(-4474.96,0)</f>
        <v>-4474.96</v>
      </c>
      <c r="K104" s="3">
        <f>_xlfn.IFERROR(-99883.59,0)</f>
        <v>-99883.59</v>
      </c>
      <c r="L104" s="3">
        <f>_xlfn.IFERROR(-5732.25,0)</f>
        <v>-5732.25</v>
      </c>
      <c r="M104" s="3">
        <f>_xlfn.IFERROR(-129706.06,0)</f>
        <v>-129706.06</v>
      </c>
      <c r="N104" s="3">
        <f>_xlfn.IFERROR(-8381.89,0)</f>
        <v>-8381.89</v>
      </c>
      <c r="O104" s="3">
        <f>_xlfn.IFERROR(-8220.98,0)</f>
        <v>-8220.98</v>
      </c>
      <c r="P104" s="3">
        <f>_xlfn.IFERROR(-252912.72,0)</f>
        <v>-252912.72</v>
      </c>
      <c r="Q104" s="3">
        <f t="shared" si="73"/>
        <v>-582413.73</v>
      </c>
      <c r="R104" s="23">
        <f t="shared" si="74"/>
        <v>-582413.73</v>
      </c>
    </row>
    <row r="105" spans="1:18" s="15" customFormat="1" ht="18" hidden="1" outlineLevel="1">
      <c r="A105" s="25"/>
      <c r="B105" s="33">
        <v>5991</v>
      </c>
      <c r="C105" s="29" t="s">
        <v>138</v>
      </c>
      <c r="D105" s="3">
        <v>0</v>
      </c>
      <c r="E105" s="3">
        <f>_xlfn.IFERROR(0,0)</f>
        <v>0</v>
      </c>
      <c r="F105" s="3">
        <f>_xlfn.IFERROR(-1965.3,0)</f>
        <v>-1965.3</v>
      </c>
      <c r="G105" s="3">
        <f aca="true" t="shared" si="81" ref="G105:I105">_xlfn.IFERROR(0,0)</f>
        <v>0</v>
      </c>
      <c r="H105" s="3">
        <f t="shared" si="81"/>
        <v>0</v>
      </c>
      <c r="I105" s="3">
        <f t="shared" si="81"/>
        <v>0</v>
      </c>
      <c r="J105" s="3">
        <f>_xlfn.IFERROR(-10919,0)</f>
        <v>-10919</v>
      </c>
      <c r="K105" s="3">
        <f>_xlfn.IFERROR(0,0)</f>
        <v>0</v>
      </c>
      <c r="L105" s="3">
        <f>_xlfn.IFERROR(-1166,0)</f>
        <v>-1166</v>
      </c>
      <c r="M105" s="3">
        <f>_xlfn.IFERROR(-8605.1,0)</f>
        <v>-8605.1</v>
      </c>
      <c r="N105" s="3">
        <f>_xlfn.IFERROR(-5623.42,0)</f>
        <v>-5623.42</v>
      </c>
      <c r="O105" s="3">
        <f>_xlfn.IFERROR(-28750.25,0)</f>
        <v>-28750.25</v>
      </c>
      <c r="P105" s="3">
        <f>_xlfn.IFERROR(-21850,0)</f>
        <v>-21850</v>
      </c>
      <c r="Q105" s="3">
        <f t="shared" si="73"/>
        <v>-78879.07</v>
      </c>
      <c r="R105" s="23">
        <f t="shared" si="74"/>
        <v>-78879.07</v>
      </c>
    </row>
    <row r="106" spans="1:18" s="15" customFormat="1" ht="18" hidden="1" outlineLevel="1">
      <c r="A106" s="25"/>
      <c r="B106" s="33">
        <v>6015</v>
      </c>
      <c r="C106" s="29" t="s">
        <v>93</v>
      </c>
      <c r="D106" s="3">
        <v>0</v>
      </c>
      <c r="E106" s="3">
        <f aca="true" t="shared" si="82" ref="E106:H106">_xlfn.IFERROR(-59358,0)</f>
        <v>-59358</v>
      </c>
      <c r="F106" s="3">
        <f t="shared" si="82"/>
        <v>-59358</v>
      </c>
      <c r="G106" s="3">
        <f t="shared" si="82"/>
        <v>-59358</v>
      </c>
      <c r="H106" s="3">
        <f t="shared" si="82"/>
        <v>-59358</v>
      </c>
      <c r="I106" s="3">
        <f>_xlfn.IFERROR(-166038,0)</f>
        <v>-166038</v>
      </c>
      <c r="J106" s="3">
        <f aca="true" t="shared" si="83" ref="J106:P106">_xlfn.IFERROR(-80690,0)</f>
        <v>-80690</v>
      </c>
      <c r="K106" s="3">
        <f t="shared" si="83"/>
        <v>-80690</v>
      </c>
      <c r="L106" s="3">
        <f t="shared" si="83"/>
        <v>-80690</v>
      </c>
      <c r="M106" s="3">
        <f t="shared" si="83"/>
        <v>-80690</v>
      </c>
      <c r="N106" s="3">
        <f t="shared" si="83"/>
        <v>-80690</v>
      </c>
      <c r="O106" s="3">
        <f t="shared" si="83"/>
        <v>-80690</v>
      </c>
      <c r="P106" s="3">
        <f t="shared" si="83"/>
        <v>-80690</v>
      </c>
      <c r="Q106" s="3">
        <f t="shared" si="73"/>
        <v>-968300</v>
      </c>
      <c r="R106" s="23">
        <f t="shared" si="74"/>
        <v>-968300</v>
      </c>
    </row>
    <row r="107" spans="1:18" s="15" customFormat="1" ht="18" hidden="1" outlineLevel="1">
      <c r="A107" s="25"/>
      <c r="B107" s="33">
        <v>6300</v>
      </c>
      <c r="C107" s="29" t="s">
        <v>127</v>
      </c>
      <c r="D107" s="3">
        <v>0</v>
      </c>
      <c r="E107" s="3">
        <f aca="true" t="shared" si="84" ref="E107:P107">_xlfn.IFERROR(-24000,0)</f>
        <v>-24000</v>
      </c>
      <c r="F107" s="3">
        <f t="shared" si="84"/>
        <v>-24000</v>
      </c>
      <c r="G107" s="3">
        <f t="shared" si="84"/>
        <v>-24000</v>
      </c>
      <c r="H107" s="3">
        <f t="shared" si="84"/>
        <v>-24000</v>
      </c>
      <c r="I107" s="3">
        <f t="shared" si="84"/>
        <v>-24000</v>
      </c>
      <c r="J107" s="3">
        <f t="shared" si="84"/>
        <v>-24000</v>
      </c>
      <c r="K107" s="3">
        <f t="shared" si="84"/>
        <v>-24000</v>
      </c>
      <c r="L107" s="3">
        <f t="shared" si="84"/>
        <v>-24000</v>
      </c>
      <c r="M107" s="3">
        <f t="shared" si="84"/>
        <v>-24000</v>
      </c>
      <c r="N107" s="3">
        <f t="shared" si="84"/>
        <v>-24000</v>
      </c>
      <c r="O107" s="3">
        <f t="shared" si="84"/>
        <v>-24000</v>
      </c>
      <c r="P107" s="3">
        <f t="shared" si="84"/>
        <v>-24000</v>
      </c>
      <c r="Q107" s="3">
        <f t="shared" si="73"/>
        <v>-288000</v>
      </c>
      <c r="R107" s="23">
        <f t="shared" si="74"/>
        <v>-288000</v>
      </c>
    </row>
    <row r="108" spans="1:18" s="15" customFormat="1" ht="18" hidden="1" outlineLevel="1">
      <c r="A108" s="25"/>
      <c r="B108" s="33">
        <v>6320</v>
      </c>
      <c r="C108" s="29" t="s">
        <v>32</v>
      </c>
      <c r="D108" s="3">
        <v>0</v>
      </c>
      <c r="E108" s="3">
        <f aca="true" t="shared" si="85" ref="E108:L108">_xlfn.IFERROR(0,0)</f>
        <v>0</v>
      </c>
      <c r="F108" s="3">
        <f t="shared" si="85"/>
        <v>0</v>
      </c>
      <c r="G108" s="3">
        <f t="shared" si="85"/>
        <v>0</v>
      </c>
      <c r="H108" s="3">
        <f t="shared" si="85"/>
        <v>0</v>
      </c>
      <c r="I108" s="3">
        <f t="shared" si="85"/>
        <v>0</v>
      </c>
      <c r="J108" s="3">
        <f t="shared" si="85"/>
        <v>0</v>
      </c>
      <c r="K108" s="3">
        <f t="shared" si="85"/>
        <v>0</v>
      </c>
      <c r="L108" s="3">
        <f t="shared" si="85"/>
        <v>0</v>
      </c>
      <c r="M108" s="3">
        <f>_xlfn.IFERROR(-580,0)</f>
        <v>-580</v>
      </c>
      <c r="N108" s="3">
        <f>_xlfn.IFERROR(0,0)</f>
        <v>0</v>
      </c>
      <c r="O108" s="3">
        <f>_xlfn.IFERROR(-642.4,0)</f>
        <v>-642.4</v>
      </c>
      <c r="P108" s="3">
        <f>_xlfn.IFERROR(0,0)</f>
        <v>0</v>
      </c>
      <c r="Q108" s="3">
        <f t="shared" si="73"/>
        <v>-1222.4</v>
      </c>
      <c r="R108" s="23">
        <f t="shared" si="74"/>
        <v>-1222.4</v>
      </c>
    </row>
    <row r="109" spans="1:18" s="15" customFormat="1" ht="18" hidden="1" outlineLevel="1">
      <c r="A109" s="25"/>
      <c r="B109" s="33">
        <v>6340</v>
      </c>
      <c r="C109" s="29" t="s">
        <v>139</v>
      </c>
      <c r="D109" s="3">
        <v>0</v>
      </c>
      <c r="E109" s="3">
        <f>_xlfn.IFERROR(-27629.01,0)</f>
        <v>-27629.01</v>
      </c>
      <c r="F109" s="3">
        <f>_xlfn.IFERROR(-30625.51,0)</f>
        <v>-30625.51</v>
      </c>
      <c r="G109" s="3">
        <f>_xlfn.IFERROR(-28863.63,0)</f>
        <v>-28863.63</v>
      </c>
      <c r="H109" s="3">
        <f>_xlfn.IFERROR(-45148.1,0)</f>
        <v>-45148.1</v>
      </c>
      <c r="I109" s="3">
        <f>_xlfn.IFERROR(-37002.34,0)</f>
        <v>-37002.34</v>
      </c>
      <c r="J109" s="3">
        <f>_xlfn.IFERROR(-42552.3,0)</f>
        <v>-42552.3</v>
      </c>
      <c r="K109" s="3">
        <f>_xlfn.IFERROR(-43494.13,0)</f>
        <v>-43494.13</v>
      </c>
      <c r="L109" s="3">
        <f>_xlfn.IFERROR(-63575.77,0)</f>
        <v>-63575.77</v>
      </c>
      <c r="M109" s="3">
        <f>_xlfn.IFERROR(-93125.46,0)</f>
        <v>-93125.46</v>
      </c>
      <c r="N109" s="3">
        <f>_xlfn.IFERROR(-61992.97,0)</f>
        <v>-61992.97</v>
      </c>
      <c r="O109" s="3">
        <f>_xlfn.IFERROR(-34908.82,0)</f>
        <v>-34908.82</v>
      </c>
      <c r="P109" s="3">
        <f>_xlfn.IFERROR(-3422.58,0)</f>
        <v>-3422.58</v>
      </c>
      <c r="Q109" s="3">
        <f t="shared" si="73"/>
        <v>-512340.6200000001</v>
      </c>
      <c r="R109" s="23">
        <f t="shared" si="74"/>
        <v>-512340.6200000001</v>
      </c>
    </row>
    <row r="110" spans="1:18" s="15" customFormat="1" ht="18" hidden="1" outlineLevel="1">
      <c r="A110" s="25"/>
      <c r="B110" s="33">
        <v>6360</v>
      </c>
      <c r="C110" s="29" t="s">
        <v>111</v>
      </c>
      <c r="D110" s="3">
        <v>0</v>
      </c>
      <c r="E110" s="3">
        <f>_xlfn.IFERROR(-17887.99,0)</f>
        <v>-17887.99</v>
      </c>
      <c r="F110" s="3">
        <f>_xlfn.IFERROR(-15977.85,0)</f>
        <v>-15977.85</v>
      </c>
      <c r="G110" s="3">
        <f>_xlfn.IFERROR(-18619.18,0)</f>
        <v>-18619.18</v>
      </c>
      <c r="H110" s="3">
        <f>_xlfn.IFERROR(-16429.09,0)</f>
        <v>-16429.09</v>
      </c>
      <c r="I110" s="3">
        <f>_xlfn.IFERROR(-20605.17,0)</f>
        <v>-20605.17</v>
      </c>
      <c r="J110" s="3">
        <f>_xlfn.IFERROR(-23033.67,0)</f>
        <v>-23033.67</v>
      </c>
      <c r="K110" s="3">
        <f>_xlfn.IFERROR(-25551.18,0)</f>
        <v>-25551.18</v>
      </c>
      <c r="L110" s="3">
        <f>_xlfn.IFERROR(-22876.07,0)</f>
        <v>-22876.07</v>
      </c>
      <c r="M110" s="3">
        <f>_xlfn.IFERROR(-20805.81,0)</f>
        <v>-20805.81</v>
      </c>
      <c r="N110" s="3">
        <f>_xlfn.IFERROR(-17368.07,0)</f>
        <v>-17368.07</v>
      </c>
      <c r="O110" s="3">
        <f>_xlfn.IFERROR(-19949.8,0)</f>
        <v>-19949.8</v>
      </c>
      <c r="P110" s="3">
        <f>_xlfn.IFERROR(-21392.84,0)</f>
        <v>-21392.84</v>
      </c>
      <c r="Q110" s="3">
        <f t="shared" si="73"/>
        <v>-240496.72</v>
      </c>
      <c r="R110" s="23">
        <f t="shared" si="74"/>
        <v>-240496.72</v>
      </c>
    </row>
    <row r="111" spans="1:18" s="15" customFormat="1" ht="18" hidden="1" outlineLevel="1">
      <c r="A111" s="25"/>
      <c r="B111" s="33">
        <v>6540</v>
      </c>
      <c r="C111" s="29" t="s">
        <v>43</v>
      </c>
      <c r="D111" s="3">
        <v>0</v>
      </c>
      <c r="E111" s="3">
        <f aca="true" t="shared" si="86" ref="E111:N111">_xlfn.IFERROR(0,0)</f>
        <v>0</v>
      </c>
      <c r="F111" s="3">
        <f t="shared" si="86"/>
        <v>0</v>
      </c>
      <c r="G111" s="3">
        <f t="shared" si="86"/>
        <v>0</v>
      </c>
      <c r="H111" s="3">
        <f t="shared" si="86"/>
        <v>0</v>
      </c>
      <c r="I111" s="3">
        <f t="shared" si="86"/>
        <v>0</v>
      </c>
      <c r="J111" s="3">
        <f t="shared" si="86"/>
        <v>0</v>
      </c>
      <c r="K111" s="3">
        <f t="shared" si="86"/>
        <v>0</v>
      </c>
      <c r="L111" s="3">
        <f t="shared" si="86"/>
        <v>0</v>
      </c>
      <c r="M111" s="3">
        <f t="shared" si="86"/>
        <v>0</v>
      </c>
      <c r="N111" s="3">
        <f t="shared" si="86"/>
        <v>0</v>
      </c>
      <c r="O111" s="3">
        <f>_xlfn.IFERROR(-70.98,0)</f>
        <v>-70.98</v>
      </c>
      <c r="P111" s="3">
        <f>_xlfn.IFERROR(-1077.6,0)</f>
        <v>-1077.6</v>
      </c>
      <c r="Q111" s="3">
        <f t="shared" si="73"/>
        <v>-1148.58</v>
      </c>
      <c r="R111" s="23">
        <f t="shared" si="74"/>
        <v>-1148.58</v>
      </c>
    </row>
    <row r="112" spans="1:18" s="15" customFormat="1" ht="18" hidden="1" outlineLevel="1">
      <c r="A112" s="25"/>
      <c r="B112" s="33">
        <v>6545</v>
      </c>
      <c r="C112" s="29" t="s">
        <v>51</v>
      </c>
      <c r="D112" s="3">
        <v>0</v>
      </c>
      <c r="E112" s="3">
        <f>_xlfn.IFERROR(-2013.6,0)</f>
        <v>-2013.6</v>
      </c>
      <c r="F112" s="3">
        <f>_xlfn.IFERROR(-478.4,0)</f>
        <v>-478.4</v>
      </c>
      <c r="G112" s="3">
        <f aca="true" t="shared" si="87" ref="G112:I112">_xlfn.IFERROR(0,0)</f>
        <v>0</v>
      </c>
      <c r="H112" s="3">
        <f t="shared" si="87"/>
        <v>0</v>
      </c>
      <c r="I112" s="3">
        <f t="shared" si="87"/>
        <v>0</v>
      </c>
      <c r="J112" s="3">
        <f>_xlfn.IFERROR(-479.2,0)</f>
        <v>-479.2</v>
      </c>
      <c r="K112" s="3">
        <f aca="true" t="shared" si="88" ref="K112:K118">_xlfn.IFERROR(0,0)</f>
        <v>0</v>
      </c>
      <c r="L112" s="3">
        <f aca="true" t="shared" si="89" ref="L112:P112">_xlfn.IFERROR(0,0)</f>
        <v>0</v>
      </c>
      <c r="M112" s="3">
        <f t="shared" si="89"/>
        <v>0</v>
      </c>
      <c r="N112" s="3">
        <f t="shared" si="89"/>
        <v>0</v>
      </c>
      <c r="O112" s="3">
        <f t="shared" si="89"/>
        <v>0</v>
      </c>
      <c r="P112" s="3">
        <f t="shared" si="89"/>
        <v>0</v>
      </c>
      <c r="Q112" s="3">
        <f t="shared" si="73"/>
        <v>-2971.2</v>
      </c>
      <c r="R112" s="23">
        <f t="shared" si="74"/>
        <v>-2971.2</v>
      </c>
    </row>
    <row r="113" spans="1:18" s="15" customFormat="1" ht="18" hidden="1" outlineLevel="1">
      <c r="A113" s="25"/>
      <c r="B113" s="33">
        <v>6570</v>
      </c>
      <c r="C113" s="29" t="s">
        <v>128</v>
      </c>
      <c r="D113" s="3">
        <v>0</v>
      </c>
      <c r="E113" s="3">
        <f aca="true" t="shared" si="90" ref="E113:F115">_xlfn.IFERROR(0,0)</f>
        <v>0</v>
      </c>
      <c r="F113" s="3">
        <f t="shared" si="90"/>
        <v>0</v>
      </c>
      <c r="G113" s="3">
        <f>_xlfn.IFERROR(-4028.8,0)</f>
        <v>-4028.8</v>
      </c>
      <c r="H113" s="3">
        <f aca="true" t="shared" si="91" ref="H113:I118">_xlfn.IFERROR(0,0)</f>
        <v>0</v>
      </c>
      <c r="I113" s="3">
        <f t="shared" si="91"/>
        <v>0</v>
      </c>
      <c r="J113" s="3">
        <f>_xlfn.IFERROR(0,0)</f>
        <v>0</v>
      </c>
      <c r="K113" s="3">
        <f t="shared" si="88"/>
        <v>0</v>
      </c>
      <c r="L113" s="3">
        <f>_xlfn.IFERROR(-2843.15,0)</f>
        <v>-2843.15</v>
      </c>
      <c r="M113" s="3">
        <f>_xlfn.IFERROR(-4628.8,0)</f>
        <v>-4628.8</v>
      </c>
      <c r="N113" s="3">
        <f aca="true" t="shared" si="92" ref="N113:N119">_xlfn.IFERROR(0,0)</f>
        <v>0</v>
      </c>
      <c r="O113" s="3">
        <f aca="true" t="shared" si="93" ref="O113:P113">_xlfn.IFERROR(0,0)</f>
        <v>0</v>
      </c>
      <c r="P113" s="3">
        <f t="shared" si="93"/>
        <v>0</v>
      </c>
      <c r="Q113" s="3">
        <f t="shared" si="73"/>
        <v>-11500.75</v>
      </c>
      <c r="R113" s="23">
        <f t="shared" si="74"/>
        <v>-11500.75</v>
      </c>
    </row>
    <row r="114" spans="1:18" s="15" customFormat="1" ht="18" hidden="1" outlineLevel="1">
      <c r="A114" s="25"/>
      <c r="B114" s="33">
        <v>6700</v>
      </c>
      <c r="C114" s="29" t="s">
        <v>20</v>
      </c>
      <c r="D114" s="3">
        <v>0</v>
      </c>
      <c r="E114" s="3">
        <f t="shared" si="90"/>
        <v>0</v>
      </c>
      <c r="F114" s="3">
        <f t="shared" si="90"/>
        <v>0</v>
      </c>
      <c r="G114" s="3">
        <f aca="true" t="shared" si="94" ref="G114:G117">_xlfn.IFERROR(0,0)</f>
        <v>0</v>
      </c>
      <c r="H114" s="3">
        <f t="shared" si="91"/>
        <v>0</v>
      </c>
      <c r="I114" s="3">
        <f t="shared" si="91"/>
        <v>0</v>
      </c>
      <c r="J114" s="3">
        <f>_xlfn.IFERROR(-38925,0)</f>
        <v>-38925</v>
      </c>
      <c r="K114" s="3">
        <f t="shared" si="88"/>
        <v>0</v>
      </c>
      <c r="L114" s="3">
        <f aca="true" t="shared" si="95" ref="L114:M118">_xlfn.IFERROR(0,0)</f>
        <v>0</v>
      </c>
      <c r="M114" s="3">
        <f t="shared" si="95"/>
        <v>0</v>
      </c>
      <c r="N114" s="3">
        <f t="shared" si="92"/>
        <v>0</v>
      </c>
      <c r="O114" s="3">
        <f>_xlfn.IFERROR(-12000,0)</f>
        <v>-12000</v>
      </c>
      <c r="P114" s="3">
        <f>_xlfn.IFERROR(0,0)</f>
        <v>0</v>
      </c>
      <c r="Q114" s="3">
        <f t="shared" si="73"/>
        <v>-50925</v>
      </c>
      <c r="R114" s="23">
        <f t="shared" si="74"/>
        <v>-50925</v>
      </c>
    </row>
    <row r="115" spans="1:18" s="15" customFormat="1" ht="18" hidden="1" outlineLevel="1">
      <c r="A115" s="25"/>
      <c r="B115" s="33">
        <v>6701</v>
      </c>
      <c r="C115" s="29" t="s">
        <v>66</v>
      </c>
      <c r="D115" s="3">
        <v>0</v>
      </c>
      <c r="E115" s="3">
        <f t="shared" si="90"/>
        <v>0</v>
      </c>
      <c r="F115" s="3">
        <f t="shared" si="90"/>
        <v>0</v>
      </c>
      <c r="G115" s="3">
        <f t="shared" si="94"/>
        <v>0</v>
      </c>
      <c r="H115" s="3">
        <f t="shared" si="91"/>
        <v>0</v>
      </c>
      <c r="I115" s="3">
        <f t="shared" si="91"/>
        <v>0</v>
      </c>
      <c r="J115" s="3">
        <f>_xlfn.IFERROR(-7600,0)</f>
        <v>-7600</v>
      </c>
      <c r="K115" s="3">
        <f t="shared" si="88"/>
        <v>0</v>
      </c>
      <c r="L115" s="3">
        <f t="shared" si="95"/>
        <v>0</v>
      </c>
      <c r="M115" s="3">
        <f t="shared" si="95"/>
        <v>0</v>
      </c>
      <c r="N115" s="3">
        <f t="shared" si="92"/>
        <v>0</v>
      </c>
      <c r="O115" s="3">
        <f aca="true" t="shared" si="96" ref="O115:O116">_xlfn.IFERROR(0,0)</f>
        <v>0</v>
      </c>
      <c r="P115" s="3">
        <f>_xlfn.IFERROR(--5000,0)</f>
        <v>5000</v>
      </c>
      <c r="Q115" s="3">
        <f t="shared" si="73"/>
        <v>-2600</v>
      </c>
      <c r="R115" s="23">
        <f t="shared" si="74"/>
        <v>-2600</v>
      </c>
    </row>
    <row r="116" spans="1:18" s="15" customFormat="1" ht="18" hidden="1" outlineLevel="1">
      <c r="A116" s="25"/>
      <c r="B116" s="33">
        <v>6702</v>
      </c>
      <c r="C116" s="29" t="s">
        <v>8</v>
      </c>
      <c r="D116" s="3">
        <v>0</v>
      </c>
      <c r="E116" s="3">
        <f>_xlfn.IFERROR(-4000,0)</f>
        <v>-4000</v>
      </c>
      <c r="F116" s="3">
        <f>_xlfn.IFERROR(0,0)</f>
        <v>0</v>
      </c>
      <c r="G116" s="3">
        <f t="shared" si="94"/>
        <v>0</v>
      </c>
      <c r="H116" s="3">
        <f t="shared" si="91"/>
        <v>0</v>
      </c>
      <c r="I116" s="3">
        <f t="shared" si="91"/>
        <v>0</v>
      </c>
      <c r="J116" s="3">
        <f>_xlfn.IFERROR(-63974.7,0)</f>
        <v>-63974.7</v>
      </c>
      <c r="K116" s="3">
        <f t="shared" si="88"/>
        <v>0</v>
      </c>
      <c r="L116" s="3">
        <f t="shared" si="95"/>
        <v>0</v>
      </c>
      <c r="M116" s="3">
        <f t="shared" si="95"/>
        <v>0</v>
      </c>
      <c r="N116" s="3">
        <f t="shared" si="92"/>
        <v>0</v>
      </c>
      <c r="O116" s="3">
        <f t="shared" si="96"/>
        <v>0</v>
      </c>
      <c r="P116" s="3">
        <f aca="true" t="shared" si="97" ref="P116:P118">_xlfn.IFERROR(0,0)</f>
        <v>0</v>
      </c>
      <c r="Q116" s="3">
        <f t="shared" si="73"/>
        <v>-67974.7</v>
      </c>
      <c r="R116" s="23">
        <f t="shared" si="74"/>
        <v>-67974.7</v>
      </c>
    </row>
    <row r="117" spans="1:18" s="15" customFormat="1" ht="18" hidden="1" outlineLevel="1">
      <c r="A117" s="25"/>
      <c r="B117" s="33">
        <v>6720</v>
      </c>
      <c r="C117" s="29" t="s">
        <v>52</v>
      </c>
      <c r="D117" s="3">
        <v>0</v>
      </c>
      <c r="E117" s="3">
        <f aca="true" t="shared" si="98" ref="E117:E118">_xlfn.IFERROR(0,0)</f>
        <v>0</v>
      </c>
      <c r="F117" s="3">
        <f>_xlfn.IFERROR(-85119,0)</f>
        <v>-85119</v>
      </c>
      <c r="G117" s="3">
        <f t="shared" si="94"/>
        <v>0</v>
      </c>
      <c r="H117" s="3">
        <f t="shared" si="91"/>
        <v>0</v>
      </c>
      <c r="I117" s="3">
        <f t="shared" si="91"/>
        <v>0</v>
      </c>
      <c r="J117" s="3">
        <f aca="true" t="shared" si="99" ref="J117:J118">_xlfn.IFERROR(0,0)</f>
        <v>0</v>
      </c>
      <c r="K117" s="3">
        <f t="shared" si="88"/>
        <v>0</v>
      </c>
      <c r="L117" s="3">
        <f t="shared" si="95"/>
        <v>0</v>
      </c>
      <c r="M117" s="3">
        <f t="shared" si="95"/>
        <v>0</v>
      </c>
      <c r="N117" s="3">
        <f t="shared" si="92"/>
        <v>0</v>
      </c>
      <c r="O117" s="3">
        <f>_xlfn.IFERROR(-25162.4,0)</f>
        <v>-25162.4</v>
      </c>
      <c r="P117" s="3">
        <f t="shared" si="97"/>
        <v>0</v>
      </c>
      <c r="Q117" s="3">
        <f t="shared" si="73"/>
        <v>-110281.4</v>
      </c>
      <c r="R117" s="23">
        <f t="shared" si="74"/>
        <v>-110281.4</v>
      </c>
    </row>
    <row r="118" spans="1:18" s="15" customFormat="1" ht="18" hidden="1" outlineLevel="1">
      <c r="A118" s="25"/>
      <c r="B118" s="33">
        <v>6790</v>
      </c>
      <c r="C118" s="29" t="s">
        <v>94</v>
      </c>
      <c r="D118" s="3">
        <v>0</v>
      </c>
      <c r="E118" s="3">
        <f t="shared" si="98"/>
        <v>0</v>
      </c>
      <c r="F118" s="3">
        <f>_xlfn.IFERROR(0,0)</f>
        <v>0</v>
      </c>
      <c r="G118" s="3">
        <f>_xlfn.IFERROR(-488,0)</f>
        <v>-488</v>
      </c>
      <c r="H118" s="3">
        <f t="shared" si="91"/>
        <v>0</v>
      </c>
      <c r="I118" s="3">
        <f t="shared" si="91"/>
        <v>0</v>
      </c>
      <c r="J118" s="3">
        <f t="shared" si="99"/>
        <v>0</v>
      </c>
      <c r="K118" s="3">
        <f t="shared" si="88"/>
        <v>0</v>
      </c>
      <c r="L118" s="3">
        <f t="shared" si="95"/>
        <v>0</v>
      </c>
      <c r="M118" s="3">
        <f t="shared" si="95"/>
        <v>0</v>
      </c>
      <c r="N118" s="3">
        <f t="shared" si="92"/>
        <v>0</v>
      </c>
      <c r="O118" s="3">
        <f>_xlfn.IFERROR(0,0)</f>
        <v>0</v>
      </c>
      <c r="P118" s="3">
        <f t="shared" si="97"/>
        <v>0</v>
      </c>
      <c r="Q118" s="3">
        <f t="shared" si="73"/>
        <v>-488</v>
      </c>
      <c r="R118" s="23">
        <f t="shared" si="74"/>
        <v>-488</v>
      </c>
    </row>
    <row r="119" spans="1:18" s="15" customFormat="1" ht="18" hidden="1" outlineLevel="1">
      <c r="A119" s="25"/>
      <c r="B119" s="33">
        <v>6800</v>
      </c>
      <c r="C119" s="29" t="s">
        <v>69</v>
      </c>
      <c r="D119" s="3">
        <v>0</v>
      </c>
      <c r="E119" s="3">
        <f>_xlfn.IFERROR(-5560,0)</f>
        <v>-5560</v>
      </c>
      <c r="F119" s="3">
        <f>_xlfn.IFERROR(-2299.25,0)</f>
        <v>-2299.25</v>
      </c>
      <c r="G119" s="3">
        <f>_xlfn.IFERROR(-2606.47,0)</f>
        <v>-2606.47</v>
      </c>
      <c r="H119" s="3">
        <f>_xlfn.IFERROR(-575.2,0)</f>
        <v>-575.2</v>
      </c>
      <c r="I119" s="3">
        <f>_xlfn.IFERROR(-390,0)</f>
        <v>-390</v>
      </c>
      <c r="J119" s="3">
        <f>_xlfn.IFERROR(-4781.86,0)</f>
        <v>-4781.86</v>
      </c>
      <c r="K119" s="3">
        <f>_xlfn.IFERROR(-455.74,0)</f>
        <v>-455.74</v>
      </c>
      <c r="L119" s="3">
        <f>_xlfn.IFERROR(-1337.87,0)</f>
        <v>-1337.87</v>
      </c>
      <c r="M119" s="3">
        <f>_xlfn.IFERROR(-845.39,0)</f>
        <v>-845.39</v>
      </c>
      <c r="N119" s="3">
        <f t="shared" si="92"/>
        <v>0</v>
      </c>
      <c r="O119" s="3">
        <f>_xlfn.IFERROR(-1798.27,0)</f>
        <v>-1798.27</v>
      </c>
      <c r="P119" s="3">
        <f>_xlfn.IFERROR(-6328.81,0)</f>
        <v>-6328.81</v>
      </c>
      <c r="Q119" s="3">
        <f t="shared" si="73"/>
        <v>-26978.86</v>
      </c>
      <c r="R119" s="23">
        <f t="shared" si="74"/>
        <v>-26978.86</v>
      </c>
    </row>
    <row r="120" spans="1:18" s="15" customFormat="1" ht="18" hidden="1" outlineLevel="1">
      <c r="A120" s="25"/>
      <c r="B120" s="33">
        <v>6810</v>
      </c>
      <c r="C120" s="29" t="s">
        <v>70</v>
      </c>
      <c r="D120" s="3">
        <v>0</v>
      </c>
      <c r="E120" s="3">
        <f>_xlfn.IFERROR(-153832.48,0)</f>
        <v>-153832.48</v>
      </c>
      <c r="F120" s="3">
        <f>_xlfn.IFERROR(-6043.41,0)</f>
        <v>-6043.41</v>
      </c>
      <c r="G120" s="3">
        <f>_xlfn.IFERROR(-35982.21,0)</f>
        <v>-35982.21</v>
      </c>
      <c r="H120" s="3">
        <f>_xlfn.IFERROR(-93770.38,0)</f>
        <v>-93770.38</v>
      </c>
      <c r="I120" s="3">
        <f>_xlfn.IFERROR(-16729.2,0)</f>
        <v>-16729.2</v>
      </c>
      <c r="J120" s="3">
        <f>_xlfn.IFERROR(-25262.7,0)</f>
        <v>-25262.7</v>
      </c>
      <c r="K120" s="3">
        <f>_xlfn.IFERROR(-81425.89,0)</f>
        <v>-81425.89</v>
      </c>
      <c r="L120" s="3">
        <f>_xlfn.IFERROR(-8421.76,0)</f>
        <v>-8421.76</v>
      </c>
      <c r="M120" s="3">
        <f>_xlfn.IFERROR(-39984.2,0)</f>
        <v>-39984.2</v>
      </c>
      <c r="N120" s="3">
        <f>_xlfn.IFERROR(-173613.22,0)</f>
        <v>-173613.22</v>
      </c>
      <c r="O120" s="3">
        <f>_xlfn.IFERROR(-18376.81,0)</f>
        <v>-18376.81</v>
      </c>
      <c r="P120" s="3">
        <f>_xlfn.IFERROR(-21809.2,0)</f>
        <v>-21809.2</v>
      </c>
      <c r="Q120" s="3">
        <f t="shared" si="73"/>
        <v>-675251.4600000001</v>
      </c>
      <c r="R120" s="23">
        <f t="shared" si="74"/>
        <v>-675251.4600000001</v>
      </c>
    </row>
    <row r="121" spans="1:18" s="15" customFormat="1" ht="18" hidden="1" outlineLevel="1">
      <c r="A121" s="25"/>
      <c r="B121" s="33">
        <v>6811</v>
      </c>
      <c r="C121" s="29" t="s">
        <v>119</v>
      </c>
      <c r="D121" s="3">
        <v>0</v>
      </c>
      <c r="E121" s="3">
        <f>_xlfn.IFERROR(-5190.4,0)</f>
        <v>-5190.4</v>
      </c>
      <c r="F121" s="3">
        <f>_xlfn.IFERROR(-16445.4,0)</f>
        <v>-16445.4</v>
      </c>
      <c r="G121" s="3">
        <f>_xlfn.IFERROR(-3425.4,0)</f>
        <v>-3425.4</v>
      </c>
      <c r="H121" s="3">
        <f>_xlfn.IFERROR(-3750,0)</f>
        <v>-3750</v>
      </c>
      <c r="I121" s="3">
        <f>_xlfn.IFERROR(-3712.5,0)</f>
        <v>-3712.5</v>
      </c>
      <c r="J121" s="3">
        <f>_xlfn.IFERROR(-4997.5,0)</f>
        <v>-4997.5</v>
      </c>
      <c r="K121" s="3">
        <f>_xlfn.IFERROR(-3612.5,0)</f>
        <v>-3612.5</v>
      </c>
      <c r="L121" s="3">
        <f>_xlfn.IFERROR(-15837.5,0)</f>
        <v>-15837.5</v>
      </c>
      <c r="M121" s="3">
        <f>_xlfn.IFERROR(-6102.3,0)</f>
        <v>-6102.3</v>
      </c>
      <c r="N121" s="3">
        <f>_xlfn.IFERROR(-5450,0)</f>
        <v>-5450</v>
      </c>
      <c r="O121" s="3">
        <f>_xlfn.IFERROR(-3845.2,0)</f>
        <v>-3845.2</v>
      </c>
      <c r="P121" s="3">
        <f>_xlfn.IFERROR(-9408.7,0)</f>
        <v>-9408.7</v>
      </c>
      <c r="Q121" s="3">
        <f t="shared" si="73"/>
        <v>-81777.4</v>
      </c>
      <c r="R121" s="23">
        <f t="shared" si="74"/>
        <v>-81777.4</v>
      </c>
    </row>
    <row r="122" spans="1:18" s="15" customFormat="1" ht="18" hidden="1" outlineLevel="1">
      <c r="A122" s="25"/>
      <c r="B122" s="33">
        <v>6840</v>
      </c>
      <c r="C122" s="29" t="s">
        <v>33</v>
      </c>
      <c r="D122" s="3">
        <v>0</v>
      </c>
      <c r="E122" s="3">
        <f aca="true" t="shared" si="100" ref="E122:F123">_xlfn.IFERROR(0,0)</f>
        <v>0</v>
      </c>
      <c r="F122" s="3">
        <f t="shared" si="100"/>
        <v>0</v>
      </c>
      <c r="G122" s="3">
        <f>_xlfn.IFERROR(-533,0)</f>
        <v>-533</v>
      </c>
      <c r="H122" s="3">
        <f aca="true" t="shared" si="101" ref="H122:H123">_xlfn.IFERROR(0,0)</f>
        <v>0</v>
      </c>
      <c r="I122" s="3">
        <f aca="true" t="shared" si="102" ref="I122:P122">_xlfn.IFERROR(0,0)</f>
        <v>0</v>
      </c>
      <c r="J122" s="3">
        <f t="shared" si="102"/>
        <v>0</v>
      </c>
      <c r="K122" s="3">
        <f t="shared" si="102"/>
        <v>0</v>
      </c>
      <c r="L122" s="3">
        <f t="shared" si="102"/>
        <v>0</v>
      </c>
      <c r="M122" s="3">
        <f t="shared" si="102"/>
        <v>0</v>
      </c>
      <c r="N122" s="3">
        <f t="shared" si="102"/>
        <v>0</v>
      </c>
      <c r="O122" s="3">
        <f t="shared" si="102"/>
        <v>0</v>
      </c>
      <c r="P122" s="3">
        <f t="shared" si="102"/>
        <v>0</v>
      </c>
      <c r="Q122" s="3">
        <f t="shared" si="73"/>
        <v>-533</v>
      </c>
      <c r="R122" s="23">
        <f t="shared" si="74"/>
        <v>-533</v>
      </c>
    </row>
    <row r="123" spans="1:18" s="15" customFormat="1" ht="18" hidden="1" outlineLevel="1">
      <c r="A123" s="25"/>
      <c r="B123" s="33">
        <v>6860</v>
      </c>
      <c r="C123" s="29" t="s">
        <v>140</v>
      </c>
      <c r="D123" s="3">
        <v>0</v>
      </c>
      <c r="E123" s="3">
        <f t="shared" si="100"/>
        <v>0</v>
      </c>
      <c r="F123" s="3">
        <f t="shared" si="100"/>
        <v>0</v>
      </c>
      <c r="G123" s="3">
        <f>_xlfn.IFERROR(-1800,0)</f>
        <v>-1800</v>
      </c>
      <c r="H123" s="3">
        <f t="shared" si="101"/>
        <v>0</v>
      </c>
      <c r="I123" s="3">
        <f>_xlfn.IFERROR(-836,0)</f>
        <v>-836</v>
      </c>
      <c r="J123" s="3">
        <f>_xlfn.IFERROR(-1800,0)</f>
        <v>-1800</v>
      </c>
      <c r="K123" s="3">
        <f>_xlfn.IFERROR(-1840,0)</f>
        <v>-1840</v>
      </c>
      <c r="L123" s="3">
        <f>_xlfn.IFERROR(0,0)</f>
        <v>0</v>
      </c>
      <c r="M123" s="3">
        <f>_xlfn.IFERROR(-5800,0)</f>
        <v>-5800</v>
      </c>
      <c r="N123" s="3">
        <f>_xlfn.IFERROR(0,0)</f>
        <v>0</v>
      </c>
      <c r="O123" s="3">
        <f>_xlfn.IFERROR(-1550,0)</f>
        <v>-1550</v>
      </c>
      <c r="P123" s="3">
        <f>_xlfn.IFERROR(0,0)</f>
        <v>0</v>
      </c>
      <c r="Q123" s="3">
        <f t="shared" si="73"/>
        <v>-13626</v>
      </c>
      <c r="R123" s="23">
        <f t="shared" si="74"/>
        <v>-13626</v>
      </c>
    </row>
    <row r="124" spans="1:18" s="15" customFormat="1" ht="18" hidden="1" outlineLevel="1">
      <c r="A124" s="25"/>
      <c r="B124" s="33">
        <v>6890</v>
      </c>
      <c r="C124" s="29" t="s">
        <v>95</v>
      </c>
      <c r="D124" s="3">
        <v>0</v>
      </c>
      <c r="E124" s="3">
        <f>_xlfn.IFERROR(-7124.2,0)</f>
        <v>-7124.2</v>
      </c>
      <c r="F124" s="3">
        <f>_xlfn.IFERROR(-6770.8,0)</f>
        <v>-6770.8</v>
      </c>
      <c r="G124" s="3">
        <f>_xlfn.IFERROR(-18295.51,0)</f>
        <v>-18295.51</v>
      </c>
      <c r="H124" s="3">
        <f>_xlfn.IFERROR(-3630.2,0)</f>
        <v>-3630.2</v>
      </c>
      <c r="I124" s="3">
        <f>_xlfn.IFERROR(-4177.2,0)</f>
        <v>-4177.2</v>
      </c>
      <c r="J124" s="3">
        <f>_xlfn.IFERROR(-20728.73,0)</f>
        <v>-20728.73</v>
      </c>
      <c r="K124" s="3">
        <f>_xlfn.IFERROR(-5905,0)</f>
        <v>-5905</v>
      </c>
      <c r="L124" s="3">
        <f>_xlfn.IFERROR(-3808,0)</f>
        <v>-3808</v>
      </c>
      <c r="M124" s="3">
        <f>_xlfn.IFERROR(-17895.93,0)</f>
        <v>-17895.93</v>
      </c>
      <c r="N124" s="3">
        <f>_xlfn.IFERROR(-10588,0)</f>
        <v>-10588</v>
      </c>
      <c r="O124" s="3">
        <f>_xlfn.IFERROR(-4355,0)</f>
        <v>-4355</v>
      </c>
      <c r="P124" s="3">
        <f>_xlfn.IFERROR(-18024.03,0)</f>
        <v>-18024.03</v>
      </c>
      <c r="Q124" s="3">
        <f t="shared" si="73"/>
        <v>-121302.6</v>
      </c>
      <c r="R124" s="23">
        <f t="shared" si="74"/>
        <v>-121302.6</v>
      </c>
    </row>
    <row r="125" spans="1:18" s="15" customFormat="1" ht="18" hidden="1" outlineLevel="1">
      <c r="A125" s="25"/>
      <c r="B125" s="33">
        <v>6900</v>
      </c>
      <c r="C125" s="29" t="s">
        <v>102</v>
      </c>
      <c r="D125" s="3">
        <v>0</v>
      </c>
      <c r="E125" s="3">
        <f>_xlfn.IFERROR(-2002.11,0)</f>
        <v>-2002.11</v>
      </c>
      <c r="F125" s="3">
        <f>_xlfn.IFERROR(-2110.16,0)</f>
        <v>-2110.16</v>
      </c>
      <c r="G125" s="3">
        <f>_xlfn.IFERROR(-1913.08,0)</f>
        <v>-1913.08</v>
      </c>
      <c r="H125" s="3">
        <f>_xlfn.IFERROR(-1951.55,0)</f>
        <v>-1951.55</v>
      </c>
      <c r="I125" s="3">
        <f>_xlfn.IFERROR(-1872.33,0)</f>
        <v>-1872.33</v>
      </c>
      <c r="J125" s="3">
        <f>_xlfn.IFERROR(-2508.53,0)</f>
        <v>-2508.53</v>
      </c>
      <c r="K125" s="3">
        <f>_xlfn.IFERROR(-1736.35,0)</f>
        <v>-1736.35</v>
      </c>
      <c r="L125" s="3">
        <f>_xlfn.IFERROR(-1703.4,0)</f>
        <v>-1703.4</v>
      </c>
      <c r="M125" s="3">
        <f>_xlfn.IFERROR(-1776.08,0)</f>
        <v>-1776.08</v>
      </c>
      <c r="N125" s="3">
        <f>_xlfn.IFERROR(-1799.27,0)</f>
        <v>-1799.27</v>
      </c>
      <c r="O125" s="3">
        <f>_xlfn.IFERROR(-2430.04,0)</f>
        <v>-2430.04</v>
      </c>
      <c r="P125" s="3">
        <f>_xlfn.IFERROR(-1944.59,0)</f>
        <v>-1944.59</v>
      </c>
      <c r="Q125" s="3">
        <f t="shared" si="73"/>
        <v>-23747.49</v>
      </c>
      <c r="R125" s="23">
        <f t="shared" si="74"/>
        <v>-23747.49</v>
      </c>
    </row>
    <row r="126" spans="1:18" s="15" customFormat="1" ht="18" hidden="1" outlineLevel="1">
      <c r="A126" s="25"/>
      <c r="B126" s="33">
        <v>6940</v>
      </c>
      <c r="C126" s="29" t="s">
        <v>34</v>
      </c>
      <c r="D126" s="3">
        <v>0</v>
      </c>
      <c r="E126" s="3">
        <f>_xlfn.IFERROR(0,0)</f>
        <v>0</v>
      </c>
      <c r="F126" s="3">
        <f>_xlfn.IFERROR(-87.2,0)</f>
        <v>-87.2</v>
      </c>
      <c r="G126" s="3">
        <f aca="true" t="shared" si="103" ref="G126:H126">_xlfn.IFERROR(0,0)</f>
        <v>0</v>
      </c>
      <c r="H126" s="3">
        <f t="shared" si="103"/>
        <v>0</v>
      </c>
      <c r="I126" s="3">
        <f>_xlfn.IFERROR(-4000,0)</f>
        <v>-4000</v>
      </c>
      <c r="J126" s="3">
        <f aca="true" t="shared" si="104" ref="J126:K127">_xlfn.IFERROR(0,0)</f>
        <v>0</v>
      </c>
      <c r="K126" s="3">
        <f t="shared" si="104"/>
        <v>0</v>
      </c>
      <c r="L126" s="3">
        <f>_xlfn.IFERROR(-92.8,0)</f>
        <v>-92.8</v>
      </c>
      <c r="M126" s="3">
        <f>_xlfn.IFERROR(-66.4,0)</f>
        <v>-66.4</v>
      </c>
      <c r="N126" s="3">
        <f>_xlfn.IFERROR(0,0)</f>
        <v>0</v>
      </c>
      <c r="O126" s="3">
        <f>_xlfn.IFERROR(-4000,0)</f>
        <v>-4000</v>
      </c>
      <c r="P126" s="3">
        <f aca="true" t="shared" si="105" ref="P126:P127">_xlfn.IFERROR(0,0)</f>
        <v>0</v>
      </c>
      <c r="Q126" s="3">
        <f t="shared" si="73"/>
        <v>-8246.4</v>
      </c>
      <c r="R126" s="23">
        <f t="shared" si="74"/>
        <v>-8246.4</v>
      </c>
    </row>
    <row r="127" spans="1:18" s="15" customFormat="1" ht="18" hidden="1" outlineLevel="1">
      <c r="A127" s="25"/>
      <c r="B127" s="33">
        <v>7020</v>
      </c>
      <c r="C127" s="29" t="s">
        <v>71</v>
      </c>
      <c r="D127" s="3">
        <v>0</v>
      </c>
      <c r="E127" s="3">
        <f>_xlfn.IFERROR(-1390,0)</f>
        <v>-1390</v>
      </c>
      <c r="F127" s="3">
        <f>_xlfn.IFERROR(0,0)</f>
        <v>0</v>
      </c>
      <c r="G127" s="3">
        <f>_xlfn.IFERROR(-2804,0)</f>
        <v>-2804</v>
      </c>
      <c r="H127" s="3">
        <f>_xlfn.IFERROR(-750,0)</f>
        <v>-750</v>
      </c>
      <c r="I127" s="3">
        <f>_xlfn.IFERROR(0,0)</f>
        <v>0</v>
      </c>
      <c r="J127" s="3">
        <f t="shared" si="104"/>
        <v>0</v>
      </c>
      <c r="K127" s="3">
        <f t="shared" si="104"/>
        <v>0</v>
      </c>
      <c r="L127" s="3">
        <f aca="true" t="shared" si="106" ref="L127:M127">_xlfn.IFERROR(0,0)</f>
        <v>0</v>
      </c>
      <c r="M127" s="3">
        <f t="shared" si="106"/>
        <v>0</v>
      </c>
      <c r="N127" s="3">
        <f>_xlfn.IFERROR(-750,0)</f>
        <v>-750</v>
      </c>
      <c r="O127" s="3">
        <f aca="true" t="shared" si="107" ref="O127:O128">_xlfn.IFERROR(0,0)</f>
        <v>0</v>
      </c>
      <c r="P127" s="3">
        <f t="shared" si="105"/>
        <v>0</v>
      </c>
      <c r="Q127" s="3">
        <f t="shared" si="73"/>
        <v>-5694</v>
      </c>
      <c r="R127" s="23">
        <f t="shared" si="74"/>
        <v>-5694</v>
      </c>
    </row>
    <row r="128" spans="1:18" s="15" customFormat="1" ht="18" hidden="1" outlineLevel="1">
      <c r="A128" s="25"/>
      <c r="B128" s="33">
        <v>7105</v>
      </c>
      <c r="C128" s="29" t="s">
        <v>35</v>
      </c>
      <c r="D128" s="3">
        <v>0</v>
      </c>
      <c r="E128" s="3">
        <f>_xlfn.IFERROR(--0.01,0)</f>
        <v>0.01</v>
      </c>
      <c r="F128" s="3">
        <f>_xlfn.IFERROR(-0.19,0)</f>
        <v>-0.19</v>
      </c>
      <c r="G128" s="3">
        <f aca="true" t="shared" si="108" ref="G128:G130">_xlfn.IFERROR(0,0)</f>
        <v>0</v>
      </c>
      <c r="H128" s="3">
        <f>_xlfn.IFERROR(-1,0)</f>
        <v>-1</v>
      </c>
      <c r="I128" s="3">
        <f>_xlfn.IFERROR(--0.01,0)</f>
        <v>0.01</v>
      </c>
      <c r="J128" s="3">
        <f>_xlfn.IFERROR(-0.24,0)</f>
        <v>-0.24</v>
      </c>
      <c r="K128" s="3">
        <f>_xlfn.IFERROR(0,0)</f>
        <v>0</v>
      </c>
      <c r="L128" s="3">
        <f>_xlfn.IFERROR(-0.2,0)</f>
        <v>-0.2</v>
      </c>
      <c r="M128" s="3">
        <f>_xlfn.IFERROR(-0.01,0)</f>
        <v>-0.01</v>
      </c>
      <c r="N128" s="3">
        <f>_xlfn.IFERROR(-1.26,0)</f>
        <v>-1.26</v>
      </c>
      <c r="O128" s="3">
        <f t="shared" si="107"/>
        <v>0</v>
      </c>
      <c r="P128" s="3">
        <f>_xlfn.IFERROR(-0.09,0)</f>
        <v>-0.09</v>
      </c>
      <c r="Q128" s="3">
        <f t="shared" si="73"/>
        <v>-2.9699999999999998</v>
      </c>
      <c r="R128" s="23">
        <f t="shared" si="74"/>
        <v>-2.9699999999999998</v>
      </c>
    </row>
    <row r="129" spans="1:18" s="15" customFormat="1" ht="18" hidden="1" outlineLevel="1">
      <c r="A129" s="25"/>
      <c r="B129" s="33">
        <v>7140</v>
      </c>
      <c r="C129" s="29" t="s">
        <v>58</v>
      </c>
      <c r="D129" s="3">
        <v>0</v>
      </c>
      <c r="E129" s="3">
        <f aca="true" t="shared" si="109" ref="E129:F130">_xlfn.IFERROR(0,0)</f>
        <v>0</v>
      </c>
      <c r="F129" s="3">
        <f t="shared" si="109"/>
        <v>0</v>
      </c>
      <c r="G129" s="3">
        <f t="shared" si="108"/>
        <v>0</v>
      </c>
      <c r="H129" s="3">
        <f>_xlfn.IFERROR(-2603.04,0)</f>
        <v>-2603.04</v>
      </c>
      <c r="I129" s="3">
        <f>_xlfn.IFERROR(-8328.02,0)</f>
        <v>-8328.02</v>
      </c>
      <c r="J129" s="3">
        <f aca="true" t="shared" si="110" ref="J129:J130">_xlfn.IFERROR(0,0)</f>
        <v>0</v>
      </c>
      <c r="K129" s="3">
        <f>_xlfn.IFERROR(-1379.1,0)</f>
        <v>-1379.1</v>
      </c>
      <c r="L129" s="3">
        <f>_xlfn.IFERROR(-1254.47,0)</f>
        <v>-1254.47</v>
      </c>
      <c r="M129" s="3">
        <f aca="true" t="shared" si="111" ref="M129:M130">_xlfn.IFERROR(0,0)</f>
        <v>0</v>
      </c>
      <c r="N129" s="3">
        <f>_xlfn.IFERROR(-465.36,0)</f>
        <v>-465.36</v>
      </c>
      <c r="O129" s="3">
        <f>_xlfn.IFERROR(-210,0)</f>
        <v>-210</v>
      </c>
      <c r="P129" s="3">
        <f>_xlfn.IFERROR(-3774,0)</f>
        <v>-3774</v>
      </c>
      <c r="Q129" s="3">
        <f t="shared" si="73"/>
        <v>-18013.99</v>
      </c>
      <c r="R129" s="23">
        <f t="shared" si="74"/>
        <v>-18013.99</v>
      </c>
    </row>
    <row r="130" spans="1:18" s="15" customFormat="1" ht="18" hidden="1" outlineLevel="1">
      <c r="A130" s="25"/>
      <c r="B130" s="33">
        <v>7300</v>
      </c>
      <c r="C130" s="29" t="s">
        <v>21</v>
      </c>
      <c r="D130" s="3">
        <v>0</v>
      </c>
      <c r="E130" s="3">
        <f t="shared" si="109"/>
        <v>0</v>
      </c>
      <c r="F130" s="3">
        <f t="shared" si="109"/>
        <v>0</v>
      </c>
      <c r="G130" s="3">
        <f t="shared" si="108"/>
        <v>0</v>
      </c>
      <c r="H130" s="3">
        <f aca="true" t="shared" si="112" ref="H130:I130">_xlfn.IFERROR(0,0)</f>
        <v>0</v>
      </c>
      <c r="I130" s="3">
        <f t="shared" si="112"/>
        <v>0</v>
      </c>
      <c r="J130" s="3">
        <f t="shared" si="110"/>
        <v>0</v>
      </c>
      <c r="K130" s="3">
        <f>_xlfn.IFERROR(0,0)</f>
        <v>0</v>
      </c>
      <c r="L130" s="3">
        <f>_xlfn.IFERROR(-32500,0)</f>
        <v>-32500</v>
      </c>
      <c r="M130" s="3">
        <f t="shared" si="111"/>
        <v>0</v>
      </c>
      <c r="N130" s="3">
        <f aca="true" t="shared" si="113" ref="N130:P130">_xlfn.IFERROR(0,0)</f>
        <v>0</v>
      </c>
      <c r="O130" s="3">
        <f t="shared" si="113"/>
        <v>0</v>
      </c>
      <c r="P130" s="3">
        <f t="shared" si="113"/>
        <v>0</v>
      </c>
      <c r="Q130" s="3">
        <f t="shared" si="73"/>
        <v>-32500</v>
      </c>
      <c r="R130" s="23">
        <f t="shared" si="74"/>
        <v>-32500</v>
      </c>
    </row>
    <row r="131" spans="1:18" s="15" customFormat="1" ht="18" hidden="1" outlineLevel="1">
      <c r="A131" s="25"/>
      <c r="B131" s="33">
        <v>7320</v>
      </c>
      <c r="C131" s="29" t="s">
        <v>141</v>
      </c>
      <c r="D131" s="3">
        <v>0</v>
      </c>
      <c r="E131" s="3">
        <f>_xlfn.IFERROR(-60586,0)</f>
        <v>-60586</v>
      </c>
      <c r="F131" s="3">
        <f>_xlfn.IFERROR(-44869,0)</f>
        <v>-44869</v>
      </c>
      <c r="G131" s="3">
        <f>_xlfn.IFERROR(-237705.4,0)</f>
        <v>-237705.4</v>
      </c>
      <c r="H131" s="3">
        <f>_xlfn.IFERROR(-92216,0)</f>
        <v>-92216</v>
      </c>
      <c r="I131" s="3">
        <f>_xlfn.IFERROR(-102870,0)</f>
        <v>-102870</v>
      </c>
      <c r="J131" s="3">
        <f>_xlfn.IFERROR(-26850,0)</f>
        <v>-26850</v>
      </c>
      <c r="K131" s="3">
        <f>_xlfn.IFERROR(-68203,0)</f>
        <v>-68203</v>
      </c>
      <c r="L131" s="3">
        <f>_xlfn.IFERROR(-39058,0)</f>
        <v>-39058</v>
      </c>
      <c r="M131" s="3">
        <f>_xlfn.IFERROR(-141716.9,0)</f>
        <v>-141716.9</v>
      </c>
      <c r="N131" s="3">
        <f>_xlfn.IFERROR(-45982,0)</f>
        <v>-45982</v>
      </c>
      <c r="O131" s="3">
        <f>_xlfn.IFERROR(-127805,0)</f>
        <v>-127805</v>
      </c>
      <c r="P131" s="3">
        <f>_xlfn.IFERROR(-95057.2,0)</f>
        <v>-95057.2</v>
      </c>
      <c r="Q131" s="3">
        <f t="shared" si="73"/>
        <v>-1082918.5</v>
      </c>
      <c r="R131" s="23">
        <f t="shared" si="74"/>
        <v>-1082918.5</v>
      </c>
    </row>
    <row r="132" spans="1:18" s="15" customFormat="1" ht="18" hidden="1" outlineLevel="1">
      <c r="A132" s="25"/>
      <c r="B132" s="33">
        <v>7360</v>
      </c>
      <c r="C132" s="29" t="s">
        <v>36</v>
      </c>
      <c r="D132" s="3">
        <v>0</v>
      </c>
      <c r="E132" s="3">
        <f aca="true" t="shared" si="114" ref="E132:E136">_xlfn.IFERROR(0,0)</f>
        <v>0</v>
      </c>
      <c r="F132" s="3">
        <f aca="true" t="shared" si="115" ref="F132:H132">_xlfn.IFERROR(0,0)</f>
        <v>0</v>
      </c>
      <c r="G132" s="3">
        <f t="shared" si="115"/>
        <v>0</v>
      </c>
      <c r="H132" s="3">
        <f t="shared" si="115"/>
        <v>0</v>
      </c>
      <c r="I132" s="3">
        <f>_xlfn.IFERROR(-22680.72,0)</f>
        <v>-22680.72</v>
      </c>
      <c r="J132" s="3">
        <f aca="true" t="shared" si="116" ref="J132:J136">_xlfn.IFERROR(0,0)</f>
        <v>0</v>
      </c>
      <c r="K132" s="3">
        <f>_xlfn.IFERROR(-21875.63,0)</f>
        <v>-21875.63</v>
      </c>
      <c r="L132" s="3">
        <f aca="true" t="shared" si="117" ref="L132:N136">_xlfn.IFERROR(0,0)</f>
        <v>0</v>
      </c>
      <c r="M132" s="3">
        <f t="shared" si="117"/>
        <v>0</v>
      </c>
      <c r="N132" s="3">
        <f t="shared" si="117"/>
        <v>0</v>
      </c>
      <c r="O132" s="3">
        <f>_xlfn.IFERROR(-1570,0)</f>
        <v>-1570</v>
      </c>
      <c r="P132" s="3">
        <f>_xlfn.IFERROR(-8500,0)</f>
        <v>-8500</v>
      </c>
      <c r="Q132" s="3">
        <f t="shared" si="73"/>
        <v>-54626.350000000006</v>
      </c>
      <c r="R132" s="23">
        <f t="shared" si="74"/>
        <v>-54626.350000000006</v>
      </c>
    </row>
    <row r="133" spans="1:18" s="15" customFormat="1" ht="18" hidden="1" outlineLevel="1">
      <c r="A133" s="25"/>
      <c r="B133" s="33">
        <v>7400</v>
      </c>
      <c r="C133" s="29" t="s">
        <v>41</v>
      </c>
      <c r="D133" s="3">
        <v>0</v>
      </c>
      <c r="E133" s="3">
        <f t="shared" si="114"/>
        <v>0</v>
      </c>
      <c r="F133" s="3">
        <f>_xlfn.IFERROR(-21100,0)</f>
        <v>-21100</v>
      </c>
      <c r="G133" s="3">
        <f aca="true" t="shared" si="118" ref="G133:I134">_xlfn.IFERROR(0,0)</f>
        <v>0</v>
      </c>
      <c r="H133" s="3">
        <f t="shared" si="118"/>
        <v>0</v>
      </c>
      <c r="I133" s="3">
        <f t="shared" si="118"/>
        <v>0</v>
      </c>
      <c r="J133" s="3">
        <f t="shared" si="116"/>
        <v>0</v>
      </c>
      <c r="K133" s="3">
        <f aca="true" t="shared" si="119" ref="K133:K136">_xlfn.IFERROR(0,0)</f>
        <v>0</v>
      </c>
      <c r="L133" s="3">
        <f t="shared" si="117"/>
        <v>0</v>
      </c>
      <c r="M133" s="3">
        <f t="shared" si="117"/>
        <v>0</v>
      </c>
      <c r="N133" s="3">
        <f t="shared" si="117"/>
        <v>0</v>
      </c>
      <c r="O133" s="3">
        <f aca="true" t="shared" si="120" ref="O133:P136">_xlfn.IFERROR(0,0)</f>
        <v>0</v>
      </c>
      <c r="P133" s="3">
        <f t="shared" si="120"/>
        <v>0</v>
      </c>
      <c r="Q133" s="3">
        <f t="shared" si="73"/>
        <v>-21100</v>
      </c>
      <c r="R133" s="23">
        <f t="shared" si="74"/>
        <v>-21100</v>
      </c>
    </row>
    <row r="134" spans="1:18" s="15" customFormat="1" ht="18" hidden="1" outlineLevel="1">
      <c r="A134" s="25"/>
      <c r="B134" s="33">
        <v>7410</v>
      </c>
      <c r="C134" s="29" t="s">
        <v>22</v>
      </c>
      <c r="D134" s="3">
        <v>0</v>
      </c>
      <c r="E134" s="3">
        <f t="shared" si="114"/>
        <v>0</v>
      </c>
      <c r="F134" s="3">
        <f>_xlfn.IFERROR(-400,0)</f>
        <v>-400</v>
      </c>
      <c r="G134" s="3">
        <f t="shared" si="118"/>
        <v>0</v>
      </c>
      <c r="H134" s="3">
        <f t="shared" si="118"/>
        <v>0</v>
      </c>
      <c r="I134" s="3">
        <f t="shared" si="118"/>
        <v>0</v>
      </c>
      <c r="J134" s="3">
        <f t="shared" si="116"/>
        <v>0</v>
      </c>
      <c r="K134" s="3">
        <f t="shared" si="119"/>
        <v>0</v>
      </c>
      <c r="L134" s="3">
        <f t="shared" si="117"/>
        <v>0</v>
      </c>
      <c r="M134" s="3">
        <f t="shared" si="117"/>
        <v>0</v>
      </c>
      <c r="N134" s="3">
        <f t="shared" si="117"/>
        <v>0</v>
      </c>
      <c r="O134" s="3">
        <f t="shared" si="120"/>
        <v>0</v>
      </c>
      <c r="P134" s="3">
        <f t="shared" si="120"/>
        <v>0</v>
      </c>
      <c r="Q134" s="3">
        <f t="shared" si="73"/>
        <v>-400</v>
      </c>
      <c r="R134" s="23">
        <f t="shared" si="74"/>
        <v>-400</v>
      </c>
    </row>
    <row r="135" spans="1:18" s="15" customFormat="1" ht="18" hidden="1" outlineLevel="1">
      <c r="A135" s="25"/>
      <c r="B135" s="33">
        <v>7420</v>
      </c>
      <c r="C135" s="29" t="s">
        <v>78</v>
      </c>
      <c r="D135" s="3">
        <v>0</v>
      </c>
      <c r="E135" s="3">
        <f t="shared" si="114"/>
        <v>0</v>
      </c>
      <c r="F135" s="3">
        <f>_xlfn.IFERROR(0,0)</f>
        <v>0</v>
      </c>
      <c r="G135" s="3">
        <f>_xlfn.IFERROR(-26000,0)</f>
        <v>-26000</v>
      </c>
      <c r="H135" s="3">
        <f>_xlfn.IFERROR(--7310,0)</f>
        <v>7310</v>
      </c>
      <c r="I135" s="3">
        <f aca="true" t="shared" si="121" ref="I135:I136">_xlfn.IFERROR(0,0)</f>
        <v>0</v>
      </c>
      <c r="J135" s="3">
        <f t="shared" si="116"/>
        <v>0</v>
      </c>
      <c r="K135" s="3">
        <f t="shared" si="119"/>
        <v>0</v>
      </c>
      <c r="L135" s="3">
        <f t="shared" si="117"/>
        <v>0</v>
      </c>
      <c r="M135" s="3">
        <f t="shared" si="117"/>
        <v>0</v>
      </c>
      <c r="N135" s="3">
        <f t="shared" si="117"/>
        <v>0</v>
      </c>
      <c r="O135" s="3">
        <f t="shared" si="120"/>
        <v>0</v>
      </c>
      <c r="P135" s="3">
        <f t="shared" si="120"/>
        <v>0</v>
      </c>
      <c r="Q135" s="3">
        <f t="shared" si="73"/>
        <v>-18690</v>
      </c>
      <c r="R135" s="23">
        <f t="shared" si="74"/>
        <v>-18690</v>
      </c>
    </row>
    <row r="136" spans="1:18" s="15" customFormat="1" ht="18" hidden="1" outlineLevel="1">
      <c r="A136" s="25"/>
      <c r="B136" s="33">
        <v>7430</v>
      </c>
      <c r="C136" s="29" t="s">
        <v>67</v>
      </c>
      <c r="D136" s="3">
        <v>0</v>
      </c>
      <c r="E136" s="3">
        <f t="shared" si="114"/>
        <v>0</v>
      </c>
      <c r="F136" s="3">
        <f>_xlfn.IFERROR(-4500,0)</f>
        <v>-4500</v>
      </c>
      <c r="G136" s="3">
        <f aca="true" t="shared" si="122" ref="G136:H136">_xlfn.IFERROR(0,0)</f>
        <v>0</v>
      </c>
      <c r="H136" s="3">
        <f t="shared" si="122"/>
        <v>0</v>
      </c>
      <c r="I136" s="3">
        <f t="shared" si="121"/>
        <v>0</v>
      </c>
      <c r="J136" s="3">
        <f t="shared" si="116"/>
        <v>0</v>
      </c>
      <c r="K136" s="3">
        <f t="shared" si="119"/>
        <v>0</v>
      </c>
      <c r="L136" s="3">
        <f t="shared" si="117"/>
        <v>0</v>
      </c>
      <c r="M136" s="3">
        <f t="shared" si="117"/>
        <v>0</v>
      </c>
      <c r="N136" s="3">
        <f t="shared" si="117"/>
        <v>0</v>
      </c>
      <c r="O136" s="3">
        <f t="shared" si="120"/>
        <v>0</v>
      </c>
      <c r="P136" s="3">
        <f t="shared" si="120"/>
        <v>0</v>
      </c>
      <c r="Q136" s="3">
        <f t="shared" si="73"/>
        <v>-4500</v>
      </c>
      <c r="R136" s="23">
        <f t="shared" si="74"/>
        <v>-4500</v>
      </c>
    </row>
    <row r="137" spans="1:18" s="15" customFormat="1" ht="18" hidden="1" outlineLevel="1">
      <c r="A137" s="25"/>
      <c r="B137" s="33">
        <v>7500</v>
      </c>
      <c r="C137" s="29" t="s">
        <v>72</v>
      </c>
      <c r="D137" s="3">
        <v>0</v>
      </c>
      <c r="E137" s="3">
        <f>_xlfn.IFERROR(-5126.74,0)</f>
        <v>-5126.74</v>
      </c>
      <c r="F137" s="3">
        <f aca="true" t="shared" si="123" ref="F137:P137">_xlfn.IFERROR(-5701.25,0)</f>
        <v>-5701.25</v>
      </c>
      <c r="G137" s="3">
        <f t="shared" si="123"/>
        <v>-5701.25</v>
      </c>
      <c r="H137" s="3">
        <f t="shared" si="123"/>
        <v>-5701.25</v>
      </c>
      <c r="I137" s="3">
        <f t="shared" si="123"/>
        <v>-5701.25</v>
      </c>
      <c r="J137" s="3">
        <f t="shared" si="123"/>
        <v>-5701.25</v>
      </c>
      <c r="K137" s="3">
        <f t="shared" si="123"/>
        <v>-5701.25</v>
      </c>
      <c r="L137" s="3">
        <f t="shared" si="123"/>
        <v>-5701.25</v>
      </c>
      <c r="M137" s="3">
        <f t="shared" si="123"/>
        <v>-5701.25</v>
      </c>
      <c r="N137" s="3">
        <f t="shared" si="123"/>
        <v>-5701.25</v>
      </c>
      <c r="O137" s="3">
        <f t="shared" si="123"/>
        <v>-5701.25</v>
      </c>
      <c r="P137" s="3">
        <f t="shared" si="123"/>
        <v>-5701.25</v>
      </c>
      <c r="Q137" s="3">
        <f t="shared" si="73"/>
        <v>-67840.48999999999</v>
      </c>
      <c r="R137" s="23">
        <f t="shared" si="74"/>
        <v>-67840.48999999999</v>
      </c>
    </row>
    <row r="138" spans="1:18" s="15" customFormat="1" ht="18" hidden="1" outlineLevel="1">
      <c r="A138" s="25"/>
      <c r="B138" s="33">
        <v>7510</v>
      </c>
      <c r="C138" s="29" t="s">
        <v>73</v>
      </c>
      <c r="D138" s="3">
        <v>0</v>
      </c>
      <c r="E138" s="3">
        <f>_xlfn.IFERROR(-2993.2,0)</f>
        <v>-2993.2</v>
      </c>
      <c r="F138" s="3">
        <f aca="true" t="shared" si="124" ref="F138:P138">_xlfn.IFERROR(-3333.05,0)</f>
        <v>-3333.05</v>
      </c>
      <c r="G138" s="3">
        <f t="shared" si="124"/>
        <v>-3333.05</v>
      </c>
      <c r="H138" s="3">
        <f t="shared" si="124"/>
        <v>-3333.05</v>
      </c>
      <c r="I138" s="3">
        <f t="shared" si="124"/>
        <v>-3333.05</v>
      </c>
      <c r="J138" s="3">
        <f t="shared" si="124"/>
        <v>-3333.05</v>
      </c>
      <c r="K138" s="3">
        <f t="shared" si="124"/>
        <v>-3333.05</v>
      </c>
      <c r="L138" s="3">
        <f t="shared" si="124"/>
        <v>-3333.05</v>
      </c>
      <c r="M138" s="3">
        <f t="shared" si="124"/>
        <v>-3333.05</v>
      </c>
      <c r="N138" s="3">
        <f t="shared" si="124"/>
        <v>-3333.05</v>
      </c>
      <c r="O138" s="3">
        <f t="shared" si="124"/>
        <v>-3333.05</v>
      </c>
      <c r="P138" s="3">
        <f t="shared" si="124"/>
        <v>-3333.05</v>
      </c>
      <c r="Q138" s="3">
        <f t="shared" si="73"/>
        <v>-39656.75</v>
      </c>
      <c r="R138" s="23">
        <f t="shared" si="74"/>
        <v>-39656.75</v>
      </c>
    </row>
    <row r="139" spans="1:18" s="15" customFormat="1" ht="18" hidden="1" outlineLevel="1">
      <c r="A139" s="25"/>
      <c r="B139" s="33">
        <v>7600</v>
      </c>
      <c r="C139" s="29" t="s">
        <v>103</v>
      </c>
      <c r="D139" s="3">
        <v>0</v>
      </c>
      <c r="E139" s="3">
        <f>_xlfn.IFERROR(-900,0)</f>
        <v>-900</v>
      </c>
      <c r="F139" s="3">
        <f aca="true" t="shared" si="125" ref="F139:K139">_xlfn.IFERROR(0,0)</f>
        <v>0</v>
      </c>
      <c r="G139" s="3">
        <f t="shared" si="125"/>
        <v>0</v>
      </c>
      <c r="H139" s="3">
        <f t="shared" si="125"/>
        <v>0</v>
      </c>
      <c r="I139" s="3">
        <f t="shared" si="125"/>
        <v>0</v>
      </c>
      <c r="J139" s="3">
        <f t="shared" si="125"/>
        <v>0</v>
      </c>
      <c r="K139" s="3">
        <f t="shared" si="125"/>
        <v>0</v>
      </c>
      <c r="L139" s="3">
        <f>_xlfn.IFERROR(-900,0)</f>
        <v>-900</v>
      </c>
      <c r="M139" s="3">
        <f aca="true" t="shared" si="126" ref="M139:P139">_xlfn.IFERROR(0,0)</f>
        <v>0</v>
      </c>
      <c r="N139" s="3">
        <f t="shared" si="126"/>
        <v>0</v>
      </c>
      <c r="O139" s="3">
        <f t="shared" si="126"/>
        <v>0</v>
      </c>
      <c r="P139" s="3">
        <f t="shared" si="126"/>
        <v>0</v>
      </c>
      <c r="Q139" s="3">
        <f t="shared" si="73"/>
        <v>-1800</v>
      </c>
      <c r="R139" s="23">
        <f t="shared" si="74"/>
        <v>-1800</v>
      </c>
    </row>
    <row r="140" spans="1:18" s="15" customFormat="1" ht="18" hidden="1" outlineLevel="1">
      <c r="A140" s="25"/>
      <c r="B140" s="33">
        <v>7770</v>
      </c>
      <c r="C140" s="29" t="s">
        <v>23</v>
      </c>
      <c r="D140" s="3">
        <v>0</v>
      </c>
      <c r="E140" s="3">
        <f>_xlfn.IFERROR(-3831.5,0)</f>
        <v>-3831.5</v>
      </c>
      <c r="F140" s="3">
        <f>_xlfn.IFERROR(-3967.5,0)</f>
        <v>-3967.5</v>
      </c>
      <c r="G140" s="3">
        <f>_xlfn.IFERROR(-3767,0)</f>
        <v>-3767</v>
      </c>
      <c r="H140" s="3">
        <f>_xlfn.IFERROR(-4272,0)</f>
        <v>-4272</v>
      </c>
      <c r="I140" s="3">
        <f>_xlfn.IFERROR(-4342,0)</f>
        <v>-4342</v>
      </c>
      <c r="J140" s="3">
        <f>_xlfn.IFERROR(-4617,0)</f>
        <v>-4617</v>
      </c>
      <c r="K140" s="3">
        <f>_xlfn.IFERROR(-4555.75,0)</f>
        <v>-4555.75</v>
      </c>
      <c r="L140" s="3">
        <f>_xlfn.IFERROR(-4318.25,0)</f>
        <v>-4318.25</v>
      </c>
      <c r="M140" s="3">
        <f>_xlfn.IFERROR(-4412.5,0)</f>
        <v>-4412.5</v>
      </c>
      <c r="N140" s="3">
        <f>_xlfn.IFERROR(-4508,0)</f>
        <v>-4508</v>
      </c>
      <c r="O140" s="3">
        <f>_xlfn.IFERROR(-4132,0)</f>
        <v>-4132</v>
      </c>
      <c r="P140" s="3">
        <f>_xlfn.IFERROR(-5099.5,0)</f>
        <v>-5099.5</v>
      </c>
      <c r="Q140" s="3">
        <f t="shared" si="73"/>
        <v>-51823</v>
      </c>
      <c r="R140" s="23">
        <f t="shared" si="74"/>
        <v>-51823</v>
      </c>
    </row>
    <row r="141" spans="1:18" s="15" customFormat="1" ht="18" hidden="1" outlineLevel="1">
      <c r="A141" s="25"/>
      <c r="B141" s="33">
        <v>7790</v>
      </c>
      <c r="C141" s="29" t="s">
        <v>79</v>
      </c>
      <c r="D141" s="3">
        <v>0</v>
      </c>
      <c r="E141" s="3">
        <f>_xlfn.IFERROR(--0.94,0)</f>
        <v>0.94</v>
      </c>
      <c r="F141" s="3">
        <f>_xlfn.IFERROR(--1,0)</f>
        <v>1</v>
      </c>
      <c r="G141" s="3">
        <f>_xlfn.IFERROR(-119.78,0)</f>
        <v>-119.78</v>
      </c>
      <c r="H141" s="3">
        <f>_xlfn.IFERROR(0,0)</f>
        <v>0</v>
      </c>
      <c r="I141" s="3">
        <f>_xlfn.IFERROR(--0.7,0)</f>
        <v>0.7</v>
      </c>
      <c r="J141" s="3">
        <f>_xlfn.IFERROR(0,0)</f>
        <v>0</v>
      </c>
      <c r="K141" s="3">
        <f>_xlfn.IFERROR(--1.04,0)</f>
        <v>1.04</v>
      </c>
      <c r="L141" s="3">
        <f aca="true" t="shared" si="127" ref="L141:L142">_xlfn.IFERROR(0,0)</f>
        <v>0</v>
      </c>
      <c r="M141" s="3">
        <f>_xlfn.IFERROR(--0.15,0)</f>
        <v>0.15</v>
      </c>
      <c r="N141" s="3">
        <f>_xlfn.IFERROR(0,0)</f>
        <v>0</v>
      </c>
      <c r="O141" s="3">
        <f>_xlfn.IFERROR(--0.59,0)</f>
        <v>0.59</v>
      </c>
      <c r="P141" s="3">
        <f>_xlfn.IFERROR(--0.74,0)</f>
        <v>0.74</v>
      </c>
      <c r="Q141" s="3">
        <f t="shared" si="73"/>
        <v>-114.61999999999999</v>
      </c>
      <c r="R141" s="23">
        <f t="shared" si="74"/>
        <v>-114.61999999999999</v>
      </c>
    </row>
    <row r="142" spans="1:18" s="15" customFormat="1" ht="18" hidden="1" outlineLevel="1">
      <c r="A142" s="25"/>
      <c r="B142" s="33">
        <v>8150</v>
      </c>
      <c r="C142" s="29" t="s">
        <v>129</v>
      </c>
      <c r="D142" s="3">
        <v>0</v>
      </c>
      <c r="E142" s="3">
        <f>_xlfn.IFERROR(0,0)</f>
        <v>0</v>
      </c>
      <c r="F142" s="3">
        <f>_xlfn.IFERROR(-53,0)</f>
        <v>-53</v>
      </c>
      <c r="G142" s="3">
        <f>_xlfn.IFERROR(-11,0)</f>
        <v>-11</v>
      </c>
      <c r="H142" s="3">
        <f>_xlfn.IFERROR(-126.5,0)</f>
        <v>-126.5</v>
      </c>
      <c r="I142" s="3">
        <f>_xlfn.IFERROR(-265.11,0)</f>
        <v>-265.11</v>
      </c>
      <c r="J142" s="3">
        <f>_xlfn.IFERROR(-5.24,0)</f>
        <v>-5.24</v>
      </c>
      <c r="K142" s="3">
        <f>_xlfn.IFERROR(-366.66,0)</f>
        <v>-366.66</v>
      </c>
      <c r="L142" s="3">
        <f t="shared" si="127"/>
        <v>0</v>
      </c>
      <c r="M142" s="3">
        <f>_xlfn.IFERROR(0,0)</f>
        <v>0</v>
      </c>
      <c r="N142" s="3">
        <f>_xlfn.IFERROR(-80,0)</f>
        <v>-80</v>
      </c>
      <c r="O142" s="3">
        <f aca="true" t="shared" si="128" ref="O142:P142">_xlfn.IFERROR(0,0)</f>
        <v>0</v>
      </c>
      <c r="P142" s="3">
        <f t="shared" si="128"/>
        <v>0</v>
      </c>
      <c r="Q142" s="3">
        <f t="shared" si="73"/>
        <v>-907.51</v>
      </c>
      <c r="R142" s="23">
        <f t="shared" si="74"/>
        <v>-907.51</v>
      </c>
    </row>
    <row r="143" spans="1:28" s="21" customFormat="1" ht="18.2" collapsed="1">
      <c r="A143" s="5"/>
      <c r="B143" s="18" t="s">
        <v>0</v>
      </c>
      <c r="C143" s="18"/>
      <c r="D143" s="2">
        <f aca="true" t="shared" si="129" ref="D143:Q143">SUM(D91:D142)</f>
        <v>0</v>
      </c>
      <c r="E143" s="2">
        <f t="shared" si="129"/>
        <v>1.2699999999753708</v>
      </c>
      <c r="F143" s="2">
        <f t="shared" si="129"/>
        <v>-6628.039999999962</v>
      </c>
      <c r="G143" s="2">
        <f t="shared" si="129"/>
        <v>4000.949999999882</v>
      </c>
      <c r="H143" s="2">
        <f t="shared" si="129"/>
        <v>2434.180000000025</v>
      </c>
      <c r="I143" s="2">
        <f t="shared" si="129"/>
        <v>-2765.5000000000086</v>
      </c>
      <c r="J143" s="2">
        <f t="shared" si="129"/>
        <v>-2121.0400000000363</v>
      </c>
      <c r="K143" s="2">
        <f t="shared" si="129"/>
        <v>4249.959999999907</v>
      </c>
      <c r="L143" s="2">
        <f t="shared" si="129"/>
        <v>0.0299999999724605</v>
      </c>
      <c r="M143" s="2">
        <f t="shared" si="129"/>
        <v>0.5100000001197259</v>
      </c>
      <c r="N143" s="2">
        <f t="shared" si="129"/>
        <v>-81.13999999992393</v>
      </c>
      <c r="O143" s="2">
        <f t="shared" si="129"/>
        <v>0.8700000000161162</v>
      </c>
      <c r="P143" s="2">
        <f t="shared" si="129"/>
        <v>-26530.359999999884</v>
      </c>
      <c r="Q143" s="2">
        <f t="shared" si="129"/>
        <v>-27438.31000000101</v>
      </c>
      <c r="R143" s="28">
        <f>D143+Q143</f>
        <v>-27438.31000000101</v>
      </c>
      <c r="S143" s="15"/>
      <c r="T143" s="15"/>
      <c r="U143" s="6"/>
      <c r="V143" s="6"/>
      <c r="W143" s="6"/>
      <c r="X143" s="6"/>
      <c r="Y143" s="6"/>
      <c r="Z143" s="6"/>
      <c r="AA143" s="6"/>
      <c r="AB143" s="6"/>
    </row>
    <row r="144" spans="1:19" s="19" customFormat="1" ht="18.2">
      <c r="A144" s="21"/>
      <c r="B144" s="39"/>
      <c r="C144" s="34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20" s="42" customFormat="1" ht="18.2">
      <c r="A145" s="5"/>
      <c r="B145" s="35" t="s">
        <v>130</v>
      </c>
      <c r="C145" s="37"/>
      <c r="D145" s="10">
        <f aca="true" t="shared" si="130" ref="D145:R145">D87-D143</f>
        <v>1.862645149230957E-09</v>
      </c>
      <c r="E145" s="10">
        <f t="shared" si="130"/>
        <v>1.4151790850291945E-11</v>
      </c>
      <c r="F145" s="10">
        <f t="shared" si="130"/>
        <v>-6.45741238258779E-11</v>
      </c>
      <c r="G145" s="10">
        <f t="shared" si="130"/>
        <v>1.07775122160092E-10</v>
      </c>
      <c r="H145" s="10">
        <f t="shared" si="130"/>
        <v>-1.7280399333685637E-11</v>
      </c>
      <c r="I145" s="10">
        <f t="shared" si="130"/>
        <v>0</v>
      </c>
      <c r="J145" s="10">
        <f t="shared" si="130"/>
        <v>3.8198777474462986E-11</v>
      </c>
      <c r="K145" s="10">
        <f t="shared" si="130"/>
        <v>9.185896487906575E-11</v>
      </c>
      <c r="L145" s="10">
        <f t="shared" si="130"/>
        <v>5.547917680814862E-11</v>
      </c>
      <c r="M145" s="10">
        <f t="shared" si="130"/>
        <v>-1.0313672138551055E-10</v>
      </c>
      <c r="N145" s="10">
        <f t="shared" si="130"/>
        <v>-6.821210263296962E-11</v>
      </c>
      <c r="O145" s="10">
        <f t="shared" si="130"/>
        <v>-5.715261597316612E-11</v>
      </c>
      <c r="P145" s="10">
        <f t="shared" si="130"/>
        <v>-2.1827872842550278E-10</v>
      </c>
      <c r="Q145" s="10">
        <f t="shared" si="130"/>
        <v>6.693881005048752E-10</v>
      </c>
      <c r="R145" s="10">
        <f t="shared" si="130"/>
        <v>2.5320332497358322E-09</v>
      </c>
      <c r="S145" s="7"/>
      <c r="T145" s="6"/>
    </row>
    <row r="148" spans="3:18" ht="15">
      <c r="C148" s="17" t="s">
        <v>121</v>
      </c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3:18" ht="15">
      <c r="C149" s="17" t="s">
        <v>54</v>
      </c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38">
        <f ca="1">TODAY()</f>
        <v>44984</v>
      </c>
    </row>
  </sheetData>
  <mergeCells count="2">
    <mergeCell ref="B4:C4"/>
    <mergeCell ref="E4:Q4"/>
  </mergeCells>
  <conditionalFormatting sqref="D7:R87 D91:R143 D145:R145">
    <cfRule type="cellIs" priority="1" dxfId="0" operator="lessThan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